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drawings/drawing16.xml" ContentType="application/vnd.openxmlformats-officedocument.drawing+xml"/>
  <Override PartName="/xl/embeddings/oleObject1.bin" ContentType="application/vnd.openxmlformats-officedocument.oleObject"/>
  <Override PartName="/xl/drawings/drawing1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embeddings/oleObject2.bin" ContentType="application/vnd.openxmlformats-officedocument.oleObject"/>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2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23.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omments1.xml" ContentType="application/vnd.openxmlformats-officedocument.spreadsheetml.comments+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harts/chart27.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0" yWindow="60" windowWidth="12375" windowHeight="14565" tabRatio="627" firstSheet="36" activeTab="43"/>
  </bookViews>
  <sheets>
    <sheet name="Inhaltsverzeichnis" sheetId="120" r:id="rId1"/>
    <sheet name="Hinweise" sheetId="1" r:id="rId2"/>
    <sheet name="Formelsammlung" sheetId="2" r:id="rId3"/>
    <sheet name="Kopieren" sheetId="3" r:id="rId4"/>
    <sheet name="Formeln schreiben" sheetId="4" r:id="rId5"/>
    <sheet name="Antwortsätze schreiben" sheetId="6" r:id="rId6"/>
    <sheet name="Winkel berechnen" sheetId="5" r:id="rId7"/>
    <sheet name="Rechteck" sheetId="8" r:id="rId8"/>
    <sheet name="Dreieck" sheetId="9" r:id="rId9"/>
    <sheet name="Kreis" sheetId="7" r:id="rId10"/>
    <sheet name="Papierformat-Nutzen" sheetId="10" r:id="rId11"/>
    <sheet name="Quader" sheetId="13" r:id="rId12"/>
    <sheet name="Volumen" sheetId="14" r:id="rId13"/>
    <sheet name="Mischung" sheetId="12" r:id="rId14"/>
    <sheet name="Hilfslinien 1" sheetId="15" r:id="rId15"/>
    <sheet name="Hilfslinien 2" sheetId="16" r:id="rId16"/>
    <sheet name="Auflösung_ppi_dpi" sheetId="17" r:id="rId17"/>
    <sheet name="Licht-Wellenlänge-Frequenz" sheetId="18" r:id="rId18"/>
    <sheet name="Lumen-Lux-Candela" sheetId="119" r:id="rId19"/>
    <sheet name="Reflektionsgesetz" sheetId="19" r:id="rId20"/>
    <sheet name="Projektion-Leitzahl" sheetId="21" r:id="rId21"/>
    <sheet name="Öffnungsverhältnis-Blende" sheetId="23" r:id="rId22"/>
    <sheet name="Blenden-Zeiten-Belicht.-Reihen" sheetId="24" r:id="rId23"/>
    <sheet name="Winkel" sheetId="25" r:id="rId24"/>
    <sheet name="Vergütung" sheetId="20" r:id="rId25"/>
    <sheet name="Polarisation" sheetId="29" r:id="rId26"/>
    <sheet name="Interferenz" sheetId="26" r:id="rId27"/>
    <sheet name="Brechung" sheetId="27" r:id="rId28"/>
    <sheet name="Brechung Prisma" sheetId="28" r:id="rId29"/>
    <sheet name="Brechung-Wölbung" sheetId="30" r:id="rId30"/>
    <sheet name="V_a_a'_f" sheetId="31" r:id="rId31"/>
    <sheet name="Opt. Rechnen_Varianten" sheetId="32" r:id="rId32"/>
    <sheet name="Belichtung-Bildweite" sheetId="41" r:id="rId33"/>
    <sheet name="Abb.-maßstab-Brennweite" sheetId="33" r:id="rId34"/>
    <sheet name="Proportionen" sheetId="40" r:id="rId35"/>
    <sheet name="Bildwinkel_-kreis_Sensorgröße" sheetId="34" r:id="rId36"/>
    <sheet name="Bildkreis-Shift" sheetId="35" r:id="rId37"/>
    <sheet name="Lichtabfall im Bildkreis" sheetId="38" r:id="rId38"/>
    <sheet name="projektive Verzeichnung" sheetId="36" r:id="rId39"/>
    <sheet name="Scheimpflug" sheetId="39" r:id="rId40"/>
    <sheet name="Auge Scharfsehen" sheetId="42" r:id="rId41"/>
    <sheet name="Zerstreuungskreis" sheetId="43" r:id="rId42"/>
    <sheet name="Schärfentiefe" sheetId="45" r:id="rId43"/>
    <sheet name="Digitalisieren" sheetId="121" r:id="rId44"/>
    <sheet name="Zins-Kredit" sheetId="47" r:id="rId45"/>
    <sheet name="Datenbank nutzen" sheetId="48" r:id="rId46"/>
    <sheet name="Zeitraffer" sheetId="49" r:id="rId47"/>
    <sheet name="A-1" sheetId="50" r:id="rId48"/>
    <sheet name="A-2" sheetId="51" r:id="rId49"/>
    <sheet name="A-3" sheetId="52" r:id="rId50"/>
    <sheet name="A-4" sheetId="53" r:id="rId51"/>
    <sheet name="A-5" sheetId="54" r:id="rId52"/>
    <sheet name="A-6" sheetId="55" r:id="rId53"/>
    <sheet name="A-7" sheetId="56" r:id="rId54"/>
    <sheet name="A-8" sheetId="57" r:id="rId55"/>
    <sheet name="A-9" sheetId="58" r:id="rId56"/>
    <sheet name="A-10" sheetId="59" r:id="rId57"/>
    <sheet name="A-11" sheetId="60" r:id="rId58"/>
    <sheet name="A-12" sheetId="61" r:id="rId59"/>
    <sheet name="A-13" sheetId="62" r:id="rId60"/>
    <sheet name="A-14" sheetId="63" r:id="rId61"/>
    <sheet name="A-15" sheetId="64" r:id="rId62"/>
    <sheet name="A-16" sheetId="65" r:id="rId63"/>
    <sheet name="A-17" sheetId="66" r:id="rId64"/>
    <sheet name="A-18" sheetId="67" r:id="rId65"/>
    <sheet name="A-19" sheetId="68" r:id="rId66"/>
    <sheet name="A-20" sheetId="69" r:id="rId67"/>
    <sheet name="A-21" sheetId="70" r:id="rId68"/>
    <sheet name="A-22" sheetId="71" r:id="rId69"/>
    <sheet name="A-23" sheetId="72" r:id="rId70"/>
    <sheet name="A-24" sheetId="73" r:id="rId71"/>
    <sheet name="A-25" sheetId="74" r:id="rId72"/>
    <sheet name="A-26" sheetId="75" r:id="rId73"/>
    <sheet name="A-27" sheetId="76" r:id="rId74"/>
    <sheet name="A-28" sheetId="77" r:id="rId75"/>
    <sheet name="A-29" sheetId="78" r:id="rId76"/>
    <sheet name="A-30" sheetId="79" r:id="rId77"/>
    <sheet name="A-31" sheetId="80" r:id="rId78"/>
    <sheet name="A-32" sheetId="81" r:id="rId79"/>
    <sheet name="A-33" sheetId="82" r:id="rId80"/>
    <sheet name="A-34" sheetId="83" r:id="rId81"/>
    <sheet name="A-35" sheetId="84" r:id="rId82"/>
    <sheet name="A-36" sheetId="85" r:id="rId83"/>
    <sheet name="A-37" sheetId="86" r:id="rId84"/>
    <sheet name="A-38" sheetId="87" r:id="rId85"/>
    <sheet name="A-39" sheetId="88" r:id="rId86"/>
    <sheet name="A-40" sheetId="89" r:id="rId87"/>
    <sheet name="A-41" sheetId="90" r:id="rId88"/>
    <sheet name="A-42" sheetId="91" r:id="rId89"/>
    <sheet name="A-43" sheetId="92" r:id="rId90"/>
    <sheet name="A-44" sheetId="93" r:id="rId91"/>
    <sheet name="A-45" sheetId="94" r:id="rId92"/>
    <sheet name="A-46" sheetId="95" r:id="rId93"/>
    <sheet name="A-47" sheetId="96" r:id="rId94"/>
    <sheet name="A-48" sheetId="97" r:id="rId95"/>
    <sheet name="A-49" sheetId="98" r:id="rId96"/>
    <sheet name="A-50" sheetId="99" r:id="rId97"/>
    <sheet name="A-51" sheetId="100" r:id="rId98"/>
    <sheet name="A-52" sheetId="101" r:id="rId99"/>
    <sheet name="A-53" sheetId="102" r:id="rId100"/>
    <sheet name="A-54" sheetId="103" r:id="rId101"/>
    <sheet name="A-55" sheetId="104" r:id="rId102"/>
    <sheet name="A-55a" sheetId="105" r:id="rId103"/>
    <sheet name="A-56" sheetId="106" r:id="rId104"/>
    <sheet name="A58" sheetId="107" r:id="rId105"/>
    <sheet name="A-59" sheetId="108" r:id="rId106"/>
    <sheet name="A-60" sheetId="109" r:id="rId107"/>
    <sheet name="A-61" sheetId="110" r:id="rId108"/>
    <sheet name="A-62" sheetId="111" r:id="rId109"/>
    <sheet name="A-63" sheetId="112" r:id="rId110"/>
    <sheet name="A-64" sheetId="113" r:id="rId111"/>
    <sheet name="A-65" sheetId="114" r:id="rId112"/>
    <sheet name="A-66" sheetId="115" r:id="rId113"/>
    <sheet name="A-67" sheetId="116" r:id="rId114"/>
    <sheet name="A-68" sheetId="117" r:id="rId115"/>
  </sheets>
  <externalReferences>
    <externalReference r:id="rId116"/>
  </externalReferences>
  <definedNames>
    <definedName name="_xlnm._FilterDatabase" localSheetId="20" hidden="1">'Projektion-Leitzahl'!$A$61:$A$105</definedName>
    <definedName name="ascii">Digitalisieren!$O$42:$Q$117</definedName>
    <definedName name="_xlnm.Database" localSheetId="45">'Datenbank nutzen'!$B$27:$F$42</definedName>
    <definedName name="Leistungen" localSheetId="43">'[1]Datenbank nutzen'!$B$304:$D$324</definedName>
    <definedName name="Leistungen">'Datenbank nutzen'!$B$304:$D$324</definedName>
  </definedNames>
  <calcPr calcId="145621"/>
</workbook>
</file>

<file path=xl/calcChain.xml><?xml version="1.0" encoding="utf-8"?>
<calcChain xmlns="http://schemas.openxmlformats.org/spreadsheetml/2006/main">
  <c r="K248" i="121" l="1"/>
  <c r="B235" i="121"/>
  <c r="B233" i="121"/>
  <c r="B232" i="121"/>
  <c r="B236" i="121" s="1"/>
  <c r="B237" i="121" s="1"/>
  <c r="B231" i="121"/>
  <c r="B230" i="121"/>
  <c r="B238" i="121" s="1"/>
  <c r="I243" i="121" s="1"/>
  <c r="K223" i="121"/>
  <c r="B210" i="121"/>
  <c r="B208" i="121"/>
  <c r="B207" i="121"/>
  <c r="B206" i="121"/>
  <c r="B211" i="121" s="1"/>
  <c r="B212" i="121" s="1"/>
  <c r="B205" i="121"/>
  <c r="C202" i="121"/>
  <c r="B202" i="121"/>
  <c r="K170" i="121"/>
  <c r="B158" i="121"/>
  <c r="B159" i="121" s="1"/>
  <c r="B160" i="121" s="1"/>
  <c r="B157" i="121"/>
  <c r="I128" i="121"/>
  <c r="I127" i="121"/>
  <c r="H127" i="121" s="1"/>
  <c r="K70" i="121"/>
  <c r="K76" i="121" s="1"/>
  <c r="L56" i="121"/>
  <c r="I53" i="121"/>
  <c r="H53" i="121"/>
  <c r="G53" i="121"/>
  <c r="F53" i="121"/>
  <c r="E53" i="121"/>
  <c r="D53" i="121"/>
  <c r="C53" i="121"/>
  <c r="B53" i="121"/>
  <c r="K53" i="121" s="1"/>
  <c r="K56" i="121" s="1"/>
  <c r="I48" i="121"/>
  <c r="H48" i="121"/>
  <c r="G48" i="121"/>
  <c r="F48" i="121"/>
  <c r="E48" i="121"/>
  <c r="D48" i="121"/>
  <c r="C48" i="121"/>
  <c r="B48" i="121"/>
  <c r="L35" i="121"/>
  <c r="L33" i="121"/>
  <c r="L31" i="121"/>
  <c r="C182" i="121" l="1"/>
  <c r="I165" i="121"/>
  <c r="G128" i="121"/>
  <c r="G127" i="121"/>
  <c r="E76" i="121"/>
  <c r="I76" i="121"/>
  <c r="B213" i="121"/>
  <c r="I218" i="121" s="1"/>
  <c r="B76" i="121"/>
  <c r="F76" i="121"/>
  <c r="H128" i="121"/>
  <c r="C76" i="121"/>
  <c r="G76" i="121"/>
  <c r="H76" i="121"/>
  <c r="I247" i="121"/>
  <c r="I249" i="121" s="1"/>
  <c r="I246" i="121"/>
  <c r="I244" i="121"/>
  <c r="I245" i="121" s="1"/>
  <c r="D76" i="121"/>
  <c r="D78" i="121" l="1"/>
  <c r="G78" i="121"/>
  <c r="B78" i="121"/>
  <c r="F128" i="121"/>
  <c r="F127" i="121"/>
  <c r="C78" i="121"/>
  <c r="I222" i="121"/>
  <c r="I224" i="121" s="1"/>
  <c r="I221" i="121"/>
  <c r="I219" i="121"/>
  <c r="I220" i="121" s="1"/>
  <c r="H244" i="121"/>
  <c r="H245" i="121" s="1"/>
  <c r="H243" i="121"/>
  <c r="I78" i="121"/>
  <c r="I168" i="121"/>
  <c r="I166" i="121"/>
  <c r="I167" i="121" s="1"/>
  <c r="I169" i="121"/>
  <c r="I171" i="121" s="1"/>
  <c r="H78" i="121"/>
  <c r="F78" i="121"/>
  <c r="E78" i="121"/>
  <c r="F182" i="121"/>
  <c r="D182" i="121"/>
  <c r="E182" i="121" s="1"/>
  <c r="G182" i="121"/>
  <c r="I182" i="121" s="1"/>
  <c r="G244" i="121" l="1"/>
  <c r="G245" i="121" s="1"/>
  <c r="G243" i="121"/>
  <c r="C183" i="121"/>
  <c r="D183" i="121"/>
  <c r="E183" i="121" s="1"/>
  <c r="E128" i="121"/>
  <c r="E127" i="121"/>
  <c r="H165" i="121"/>
  <c r="H166" i="121"/>
  <c r="H167" i="121" s="1"/>
  <c r="H247" i="121"/>
  <c r="H249" i="121" s="1"/>
  <c r="H246" i="121"/>
  <c r="H219" i="121"/>
  <c r="H220" i="121" s="1"/>
  <c r="H218" i="121"/>
  <c r="K78" i="121"/>
  <c r="K79" i="121" s="1"/>
  <c r="K81" i="121" s="1"/>
  <c r="G166" i="121" l="1"/>
  <c r="G167" i="121" s="1"/>
  <c r="G165" i="121"/>
  <c r="D128" i="121"/>
  <c r="D127" i="121"/>
  <c r="H222" i="121"/>
  <c r="H224" i="121" s="1"/>
  <c r="H221" i="121"/>
  <c r="D184" i="121"/>
  <c r="E184" i="121" s="1"/>
  <c r="C184" i="121"/>
  <c r="F244" i="121"/>
  <c r="F245" i="121" s="1"/>
  <c r="F243" i="121"/>
  <c r="G219" i="121"/>
  <c r="G220" i="121" s="1"/>
  <c r="G218" i="121"/>
  <c r="H169" i="121"/>
  <c r="H171" i="121" s="1"/>
  <c r="H168" i="121"/>
  <c r="G183" i="121"/>
  <c r="I183" i="121" s="1"/>
  <c r="F183" i="121"/>
  <c r="I81" i="121"/>
  <c r="E81" i="121"/>
  <c r="H81" i="121"/>
  <c r="D81" i="121"/>
  <c r="G81" i="121"/>
  <c r="C81" i="121"/>
  <c r="F81" i="121"/>
  <c r="B81" i="121"/>
  <c r="G247" i="121"/>
  <c r="G249" i="121" s="1"/>
  <c r="G246" i="121"/>
  <c r="F219" i="121" l="1"/>
  <c r="F220" i="121" s="1"/>
  <c r="F218" i="121"/>
  <c r="F83" i="121"/>
  <c r="D83" i="121"/>
  <c r="G222" i="121"/>
  <c r="G224" i="121" s="1"/>
  <c r="G221" i="121"/>
  <c r="G184" i="121"/>
  <c r="I184" i="121" s="1"/>
  <c r="F184" i="121"/>
  <c r="C127" i="121"/>
  <c r="C128" i="121"/>
  <c r="C185" i="121"/>
  <c r="D185" i="121"/>
  <c r="E185" i="121" s="1"/>
  <c r="C83" i="121"/>
  <c r="E83" i="121"/>
  <c r="F247" i="121"/>
  <c r="F249" i="121" s="1"/>
  <c r="F246" i="121"/>
  <c r="G169" i="121"/>
  <c r="G171" i="121" s="1"/>
  <c r="G168" i="121"/>
  <c r="H83" i="121"/>
  <c r="B83" i="121"/>
  <c r="G83" i="121"/>
  <c r="I83" i="121"/>
  <c r="E244" i="121"/>
  <c r="E245" i="121" s="1"/>
  <c r="E243" i="121"/>
  <c r="F166" i="121"/>
  <c r="F167" i="121" s="1"/>
  <c r="F165" i="121"/>
  <c r="E166" i="121" l="1"/>
  <c r="E167" i="121" s="1"/>
  <c r="E165" i="121"/>
  <c r="E247" i="121"/>
  <c r="E249" i="121" s="1"/>
  <c r="E246" i="121"/>
  <c r="G185" i="121"/>
  <c r="I185" i="121" s="1"/>
  <c r="F185" i="121"/>
  <c r="E219" i="121"/>
  <c r="E220" i="121" s="1"/>
  <c r="E218" i="121"/>
  <c r="D244" i="121"/>
  <c r="D245" i="121" s="1"/>
  <c r="D243" i="121"/>
  <c r="F169" i="121"/>
  <c r="F171" i="121" s="1"/>
  <c r="F168" i="121"/>
  <c r="B128" i="121"/>
  <c r="B127" i="121"/>
  <c r="K83" i="121"/>
  <c r="K84" i="121" s="1"/>
  <c r="K86" i="121" s="1"/>
  <c r="C186" i="121"/>
  <c r="D186" i="121"/>
  <c r="E186" i="121" s="1"/>
  <c r="F222" i="121"/>
  <c r="F224" i="121" s="1"/>
  <c r="F221" i="121"/>
  <c r="H86" i="121" l="1"/>
  <c r="D86" i="121"/>
  <c r="E86" i="121"/>
  <c r="I86" i="121"/>
  <c r="C86" i="121"/>
  <c r="G86" i="121"/>
  <c r="B86" i="121"/>
  <c r="F86" i="121"/>
  <c r="D247" i="121"/>
  <c r="D249" i="121" s="1"/>
  <c r="D246" i="121"/>
  <c r="E168" i="121"/>
  <c r="E169" i="121"/>
  <c r="E171" i="121" s="1"/>
  <c r="C187" i="121"/>
  <c r="D187" i="121"/>
  <c r="E187" i="121" s="1"/>
  <c r="C244" i="121"/>
  <c r="C245" i="121" s="1"/>
  <c r="B243" i="121" s="1"/>
  <c r="C243" i="121"/>
  <c r="D165" i="121"/>
  <c r="D166" i="121"/>
  <c r="D167" i="121" s="1"/>
  <c r="G186" i="121"/>
  <c r="I186" i="121" s="1"/>
  <c r="F186" i="121"/>
  <c r="E222" i="121"/>
  <c r="E224" i="121" s="1"/>
  <c r="E221" i="121"/>
  <c r="D219" i="121"/>
  <c r="D220" i="121" s="1"/>
  <c r="D218" i="121"/>
  <c r="D168" i="121" l="1"/>
  <c r="D169" i="121"/>
  <c r="D171" i="121" s="1"/>
  <c r="D188" i="121"/>
  <c r="E188" i="121" s="1"/>
  <c r="C188" i="121"/>
  <c r="G88" i="121"/>
  <c r="D88" i="121"/>
  <c r="D222" i="121"/>
  <c r="D224" i="121" s="1"/>
  <c r="D221" i="121"/>
  <c r="C219" i="121"/>
  <c r="C220" i="121" s="1"/>
  <c r="B218" i="121" s="1"/>
  <c r="C218" i="121"/>
  <c r="C247" i="121"/>
  <c r="C249" i="121" s="1"/>
  <c r="C246" i="121"/>
  <c r="F88" i="121"/>
  <c r="I88" i="121"/>
  <c r="C165" i="121"/>
  <c r="C166" i="121"/>
  <c r="C167" i="121" s="1"/>
  <c r="B165" i="121" s="1"/>
  <c r="B247" i="121"/>
  <c r="B249" i="121" s="1"/>
  <c r="K249" i="121" s="1"/>
  <c r="D255" i="121" s="1"/>
  <c r="B246" i="121"/>
  <c r="B244" i="121"/>
  <c r="B245" i="121" s="1"/>
  <c r="B88" i="121"/>
  <c r="E88" i="121"/>
  <c r="G187" i="121"/>
  <c r="I187" i="121" s="1"/>
  <c r="F187" i="121"/>
  <c r="C88" i="121"/>
  <c r="H88" i="121"/>
  <c r="K88" i="121" l="1"/>
  <c r="K89" i="121" s="1"/>
  <c r="K91" i="121" s="1"/>
  <c r="B169" i="121"/>
  <c r="B171" i="121" s="1"/>
  <c r="K171" i="121" s="1"/>
  <c r="D256" i="121" s="1"/>
  <c r="B168" i="121"/>
  <c r="B166" i="121"/>
  <c r="B167" i="121" s="1"/>
  <c r="C222" i="121"/>
  <c r="C224" i="121" s="1"/>
  <c r="C221" i="121"/>
  <c r="G188" i="121"/>
  <c r="I188" i="121" s="1"/>
  <c r="F188" i="121"/>
  <c r="C169" i="121"/>
  <c r="C171" i="121" s="1"/>
  <c r="C168" i="121"/>
  <c r="B222" i="121"/>
  <c r="B224" i="121" s="1"/>
  <c r="K224" i="121" s="1"/>
  <c r="D257" i="121" s="1"/>
  <c r="B221" i="121"/>
  <c r="B219" i="121"/>
  <c r="B220" i="121" s="1"/>
  <c r="C189" i="121"/>
  <c r="D189" i="121"/>
  <c r="E189" i="121" s="1"/>
  <c r="G189" i="121" l="1"/>
  <c r="I189" i="121" s="1"/>
  <c r="I191" i="121" s="1"/>
  <c r="F189" i="121"/>
  <c r="I91" i="121"/>
  <c r="E91" i="121"/>
  <c r="G91" i="121"/>
  <c r="B91" i="121"/>
  <c r="F91" i="121"/>
  <c r="D91" i="121"/>
  <c r="H91" i="121"/>
  <c r="C91" i="121"/>
  <c r="C93" i="121" l="1"/>
  <c r="I93" i="121"/>
  <c r="E93" i="121"/>
  <c r="B93" i="121"/>
  <c r="K93" i="121" s="1"/>
  <c r="K94" i="121" s="1"/>
  <c r="K96" i="121" s="1"/>
  <c r="F93" i="121"/>
  <c r="H93" i="121"/>
  <c r="D93" i="121"/>
  <c r="G93" i="121"/>
  <c r="F96" i="121" l="1"/>
  <c r="B96" i="121"/>
  <c r="I96" i="121"/>
  <c r="D96" i="121"/>
  <c r="H96" i="121"/>
  <c r="C96" i="121"/>
  <c r="G96" i="121"/>
  <c r="E96" i="121"/>
  <c r="I98" i="121" l="1"/>
  <c r="C98" i="121"/>
  <c r="B98" i="121"/>
  <c r="G98" i="121"/>
  <c r="H98" i="121"/>
  <c r="E98" i="121"/>
  <c r="D98" i="121"/>
  <c r="F98" i="121"/>
  <c r="K98" i="121" l="1"/>
  <c r="K99" i="121" s="1"/>
  <c r="K101" i="121" s="1"/>
  <c r="G101" i="121" l="1"/>
  <c r="C101" i="121"/>
  <c r="F101" i="121"/>
  <c r="E101" i="121"/>
  <c r="I101" i="121"/>
  <c r="D101" i="121"/>
  <c r="H101" i="121"/>
  <c r="B101" i="121"/>
  <c r="E103" i="121" l="1"/>
  <c r="F103" i="121"/>
  <c r="H103" i="121"/>
  <c r="C103" i="121"/>
  <c r="D103" i="121"/>
  <c r="I103" i="121"/>
  <c r="B103" i="121"/>
  <c r="G103" i="121"/>
  <c r="K103" i="121" l="1"/>
  <c r="K104" i="121" s="1"/>
  <c r="K106" i="121" s="1"/>
  <c r="H106" i="121" l="1"/>
  <c r="D106" i="121"/>
  <c r="I106" i="121"/>
  <c r="C106" i="121"/>
  <c r="G106" i="121"/>
  <c r="B106" i="121"/>
  <c r="F106" i="121"/>
  <c r="E106" i="121"/>
  <c r="D108" i="121" l="1"/>
  <c r="F108" i="121"/>
  <c r="B108" i="121"/>
  <c r="H108" i="121"/>
  <c r="I108" i="121"/>
  <c r="G108" i="121"/>
  <c r="E108" i="121"/>
  <c r="C108" i="121"/>
  <c r="K108" i="121" l="1"/>
  <c r="K109" i="121" s="1"/>
  <c r="K111" i="121" s="1"/>
  <c r="I111" i="121" l="1"/>
  <c r="E111" i="121"/>
  <c r="F111" i="121"/>
  <c r="D111" i="121"/>
  <c r="H111" i="121"/>
  <c r="C111" i="121"/>
  <c r="G111" i="121"/>
  <c r="B111" i="121"/>
  <c r="G113" i="121" l="1"/>
  <c r="G72" i="121"/>
  <c r="F113" i="121"/>
  <c r="F72" i="121"/>
  <c r="C113" i="121"/>
  <c r="C72" i="121"/>
  <c r="E113" i="121"/>
  <c r="E72" i="121"/>
  <c r="H113" i="121"/>
  <c r="H72" i="121"/>
  <c r="B113" i="121"/>
  <c r="K113" i="121" s="1"/>
  <c r="K114" i="121" s="1"/>
  <c r="B72" i="121"/>
  <c r="D113" i="121"/>
  <c r="D72" i="121"/>
  <c r="I113" i="121"/>
  <c r="I72" i="121"/>
  <c r="C40" i="119" l="1"/>
  <c r="E50" i="119"/>
  <c r="E47" i="119"/>
  <c r="E42" i="119"/>
  <c r="E41" i="119"/>
  <c r="E40" i="119"/>
  <c r="C37" i="119"/>
  <c r="C33" i="119"/>
  <c r="C32" i="119" l="1"/>
  <c r="C15" i="119"/>
  <c r="C16" i="119" s="1"/>
  <c r="C18" i="119" s="1"/>
  <c r="C35" i="119" l="1"/>
  <c r="C41" i="119" s="1"/>
  <c r="C42" i="119" s="1"/>
  <c r="C20" i="119"/>
  <c r="C19" i="119"/>
  <c r="M80" i="45"/>
  <c r="N80" i="45"/>
  <c r="N82" i="45"/>
  <c r="L80" i="45"/>
  <c r="C36" i="119" l="1"/>
  <c r="C49" i="119"/>
  <c r="C48" i="119"/>
  <c r="C47" i="119"/>
  <c r="E94" i="45"/>
  <c r="F94" i="45" s="1"/>
  <c r="G94" i="45" s="1"/>
  <c r="H94" i="45" s="1"/>
  <c r="I94" i="45" s="1"/>
  <c r="J94" i="45" s="1"/>
  <c r="D94" i="45"/>
  <c r="D110" i="45"/>
  <c r="E110" i="45" s="1"/>
  <c r="F110" i="45" s="1"/>
  <c r="G110" i="45" s="1"/>
  <c r="H110" i="45" s="1"/>
  <c r="I110" i="45" s="1"/>
  <c r="J110" i="45" s="1"/>
  <c r="D108" i="45"/>
  <c r="E108" i="45" s="1"/>
  <c r="F108" i="45" s="1"/>
  <c r="D92" i="45"/>
  <c r="D96" i="45" s="1"/>
  <c r="D109" i="45"/>
  <c r="E109" i="45"/>
  <c r="F109" i="45"/>
  <c r="G109" i="45"/>
  <c r="H109" i="45"/>
  <c r="I109" i="45"/>
  <c r="J109" i="45"/>
  <c r="C109" i="45"/>
  <c r="D127" i="45"/>
  <c r="M84" i="45"/>
  <c r="N84" i="45" s="1"/>
  <c r="M83" i="45"/>
  <c r="N83" i="45" s="1"/>
  <c r="L84" i="45"/>
  <c r="L83" i="45"/>
  <c r="L82" i="45"/>
  <c r="L81" i="45"/>
  <c r="M82" i="45" s="1"/>
  <c r="D129" i="45"/>
  <c r="E129" i="45" s="1"/>
  <c r="F129" i="45" s="1"/>
  <c r="G129" i="45" s="1"/>
  <c r="H129" i="45" s="1"/>
  <c r="I129" i="45" s="1"/>
  <c r="J129" i="45" s="1"/>
  <c r="D98" i="45" l="1"/>
  <c r="D112" i="45"/>
  <c r="D114" i="45" s="1"/>
  <c r="D116" i="45" s="1"/>
  <c r="E92" i="45"/>
  <c r="G108" i="45"/>
  <c r="F112" i="45"/>
  <c r="F114" i="45" s="1"/>
  <c r="F115" i="45" s="1"/>
  <c r="E112" i="45"/>
  <c r="E114" i="45" s="1"/>
  <c r="E116" i="45" s="1"/>
  <c r="E115" i="45"/>
  <c r="D100" i="45"/>
  <c r="D99" i="45"/>
  <c r="B25" i="14"/>
  <c r="C23" i="14"/>
  <c r="B21" i="14"/>
  <c r="C19" i="14"/>
  <c r="C18" i="14"/>
  <c r="C17" i="14"/>
  <c r="I32" i="7"/>
  <c r="I30" i="7"/>
  <c r="D34" i="7"/>
  <c r="E34" i="7"/>
  <c r="F34" i="7"/>
  <c r="G34" i="7"/>
  <c r="H34" i="7"/>
  <c r="I34" i="7"/>
  <c r="C34" i="7"/>
  <c r="F116" i="45" l="1"/>
  <c r="D115" i="45"/>
  <c r="F92" i="45"/>
  <c r="E96" i="45"/>
  <c r="E98" i="45" s="1"/>
  <c r="G112" i="45"/>
  <c r="G114" i="45" s="1"/>
  <c r="H108" i="45"/>
  <c r="B75" i="5"/>
  <c r="B74" i="5"/>
  <c r="B73" i="5"/>
  <c r="C63" i="5"/>
  <c r="C65" i="5" s="1"/>
  <c r="C73" i="5" s="1"/>
  <c r="C77" i="5" s="1"/>
  <c r="C81" i="5" s="1"/>
  <c r="C55" i="5"/>
  <c r="C52" i="5"/>
  <c r="C50" i="5"/>
  <c r="C45" i="5"/>
  <c r="B25" i="5"/>
  <c r="C13" i="5"/>
  <c r="D5" i="5"/>
  <c r="D7" i="5" s="1"/>
  <c r="C18" i="49"/>
  <c r="C17" i="49"/>
  <c r="C15" i="49"/>
  <c r="C14" i="49"/>
  <c r="H210" i="48"/>
  <c r="H260" i="48"/>
  <c r="E218" i="48"/>
  <c r="E268" i="48" s="1"/>
  <c r="E217" i="48"/>
  <c r="F217" i="48" s="1"/>
  <c r="C218" i="48"/>
  <c r="C268" i="48" s="1"/>
  <c r="C217" i="48"/>
  <c r="C267" i="48" s="1"/>
  <c r="E216" i="48"/>
  <c r="E266" i="48" s="1"/>
  <c r="C216" i="48"/>
  <c r="C266" i="48" s="1"/>
  <c r="G292" i="48"/>
  <c r="H293" i="48" s="1"/>
  <c r="F292" i="48"/>
  <c r="G289" i="48"/>
  <c r="C287" i="48"/>
  <c r="F285" i="48"/>
  <c r="E285" i="48"/>
  <c r="D285" i="48"/>
  <c r="C285" i="48"/>
  <c r="E284" i="48"/>
  <c r="D284" i="48"/>
  <c r="C284" i="48"/>
  <c r="E283" i="48"/>
  <c r="D283" i="48"/>
  <c r="C283" i="48"/>
  <c r="E282" i="48"/>
  <c r="D282" i="48"/>
  <c r="C282" i="48"/>
  <c r="E281" i="48"/>
  <c r="D281" i="48"/>
  <c r="C281" i="48"/>
  <c r="E280" i="48"/>
  <c r="D280" i="48"/>
  <c r="C280" i="48"/>
  <c r="E279" i="48"/>
  <c r="D279" i="48"/>
  <c r="C279" i="48"/>
  <c r="E278" i="48"/>
  <c r="D278" i="48"/>
  <c r="C278" i="48"/>
  <c r="E277" i="48"/>
  <c r="D277" i="48"/>
  <c r="C277" i="48"/>
  <c r="E276" i="48"/>
  <c r="D276" i="48"/>
  <c r="C276" i="48"/>
  <c r="E275" i="48"/>
  <c r="D275" i="48"/>
  <c r="C275" i="48"/>
  <c r="E274" i="48"/>
  <c r="D274" i="48"/>
  <c r="C274" i="48"/>
  <c r="E273" i="48"/>
  <c r="D273" i="48"/>
  <c r="C273" i="48"/>
  <c r="E272" i="48"/>
  <c r="D272" i="48"/>
  <c r="C272" i="48"/>
  <c r="F271" i="48"/>
  <c r="E271" i="48"/>
  <c r="D271" i="48"/>
  <c r="C271" i="48"/>
  <c r="E270" i="48"/>
  <c r="D270" i="48"/>
  <c r="C270" i="48"/>
  <c r="F269" i="48"/>
  <c r="E269" i="48"/>
  <c r="D269" i="48"/>
  <c r="C269" i="48"/>
  <c r="D268" i="48"/>
  <c r="D267" i="48"/>
  <c r="D266" i="48"/>
  <c r="B266" i="48"/>
  <c r="H264" i="48"/>
  <c r="G264" i="48"/>
  <c r="F264" i="48"/>
  <c r="E264" i="48"/>
  <c r="D264" i="48"/>
  <c r="C264" i="48"/>
  <c r="B264" i="48"/>
  <c r="F235" i="48"/>
  <c r="G235" i="48" s="1"/>
  <c r="H235" i="48" s="1"/>
  <c r="H285" i="48" s="1"/>
  <c r="F234" i="48"/>
  <c r="F284" i="48" s="1"/>
  <c r="F233" i="48"/>
  <c r="G233" i="48" s="1"/>
  <c r="H233" i="48" s="1"/>
  <c r="H283" i="48" s="1"/>
  <c r="F232" i="48"/>
  <c r="F282" i="48" s="1"/>
  <c r="F231" i="48"/>
  <c r="G231" i="48" s="1"/>
  <c r="H231" i="48" s="1"/>
  <c r="H281" i="48" s="1"/>
  <c r="F230" i="48"/>
  <c r="F280" i="48" s="1"/>
  <c r="F229" i="48"/>
  <c r="G229" i="48" s="1"/>
  <c r="H229" i="48" s="1"/>
  <c r="H279" i="48" s="1"/>
  <c r="F228" i="48"/>
  <c r="F278" i="48" s="1"/>
  <c r="F227" i="48"/>
  <c r="G227" i="48" s="1"/>
  <c r="H227" i="48" s="1"/>
  <c r="H277" i="48" s="1"/>
  <c r="F226" i="48"/>
  <c r="F276" i="48" s="1"/>
  <c r="F225" i="48"/>
  <c r="F275" i="48" s="1"/>
  <c r="F224" i="48"/>
  <c r="F274" i="48" s="1"/>
  <c r="F223" i="48"/>
  <c r="F273" i="48" s="1"/>
  <c r="F222" i="48"/>
  <c r="F272" i="48" s="1"/>
  <c r="F221" i="48"/>
  <c r="G221" i="48" s="1"/>
  <c r="G271" i="48" s="1"/>
  <c r="F220" i="48"/>
  <c r="F270" i="48" s="1"/>
  <c r="F219" i="48"/>
  <c r="G219" i="48" s="1"/>
  <c r="H219" i="48" s="1"/>
  <c r="H269" i="48" s="1"/>
  <c r="B217" i="48"/>
  <c r="B218" i="48" s="1"/>
  <c r="G152" i="48"/>
  <c r="G107" i="48"/>
  <c r="I109" i="48"/>
  <c r="F109" i="48"/>
  <c r="E109" i="48"/>
  <c r="G109" i="48" s="1"/>
  <c r="D109" i="48"/>
  <c r="I108" i="48"/>
  <c r="F108" i="48"/>
  <c r="E108" i="48"/>
  <c r="H108" i="48" s="1"/>
  <c r="D108" i="48"/>
  <c r="I107" i="48"/>
  <c r="F107" i="48"/>
  <c r="E107" i="48"/>
  <c r="D107" i="48"/>
  <c r="I106" i="48"/>
  <c r="F106" i="48"/>
  <c r="E106" i="48"/>
  <c r="G106" i="48" s="1"/>
  <c r="D106" i="48"/>
  <c r="I105" i="48"/>
  <c r="F105" i="48"/>
  <c r="E105" i="48"/>
  <c r="G105" i="48" s="1"/>
  <c r="D105" i="48"/>
  <c r="I104" i="48"/>
  <c r="F104" i="48"/>
  <c r="E104" i="48"/>
  <c r="G104" i="48" s="1"/>
  <c r="D104" i="48"/>
  <c r="I103" i="48"/>
  <c r="F103" i="48"/>
  <c r="E103" i="48"/>
  <c r="G103" i="48" s="1"/>
  <c r="D103" i="48"/>
  <c r="I102" i="48"/>
  <c r="F102" i="48"/>
  <c r="E102" i="48"/>
  <c r="E111" i="48" s="1"/>
  <c r="D102" i="48"/>
  <c r="F96" i="45" l="1"/>
  <c r="F98" i="45" s="1"/>
  <c r="G92" i="45"/>
  <c r="E99" i="45"/>
  <c r="E100" i="45"/>
  <c r="I108" i="45"/>
  <c r="H112" i="45"/>
  <c r="H114" i="45" s="1"/>
  <c r="G115" i="45"/>
  <c r="G116" i="45"/>
  <c r="C20" i="49"/>
  <c r="D20" i="49" s="1"/>
  <c r="C66" i="5"/>
  <c r="C74" i="5" s="1"/>
  <c r="C78" i="5" s="1"/>
  <c r="C67" i="5"/>
  <c r="C75" i="5" s="1"/>
  <c r="C79" i="5" s="1"/>
  <c r="C22" i="49"/>
  <c r="G102" i="48"/>
  <c r="G220" i="48"/>
  <c r="G270" i="48" s="1"/>
  <c r="G222" i="48"/>
  <c r="H222" i="48" s="1"/>
  <c r="H272" i="48" s="1"/>
  <c r="G224" i="48"/>
  <c r="H224" i="48" s="1"/>
  <c r="H274" i="48" s="1"/>
  <c r="G226" i="48"/>
  <c r="H226" i="48" s="1"/>
  <c r="H276" i="48" s="1"/>
  <c r="G228" i="48"/>
  <c r="G278" i="48" s="1"/>
  <c r="G230" i="48"/>
  <c r="G280" i="48" s="1"/>
  <c r="G232" i="48"/>
  <c r="H232" i="48" s="1"/>
  <c r="H282" i="48" s="1"/>
  <c r="G234" i="48"/>
  <c r="G284" i="48" s="1"/>
  <c r="B267" i="48"/>
  <c r="F281" i="48"/>
  <c r="F283" i="48"/>
  <c r="F277" i="48"/>
  <c r="F279" i="48"/>
  <c r="J108" i="48"/>
  <c r="H105" i="48"/>
  <c r="J105" i="48" s="1"/>
  <c r="G108" i="48"/>
  <c r="G223" i="48"/>
  <c r="G273" i="48" s="1"/>
  <c r="G225" i="48"/>
  <c r="G275" i="48" s="1"/>
  <c r="F218" i="48"/>
  <c r="F268" i="48" s="1"/>
  <c r="E267" i="48"/>
  <c r="F267" i="48"/>
  <c r="G217" i="48"/>
  <c r="G267" i="48" s="1"/>
  <c r="F216" i="48"/>
  <c r="B268" i="48"/>
  <c r="B219" i="48"/>
  <c r="H228" i="48"/>
  <c r="H278" i="48" s="1"/>
  <c r="H234" i="48"/>
  <c r="H284" i="48" s="1"/>
  <c r="G279" i="48"/>
  <c r="G283" i="48"/>
  <c r="G274" i="48"/>
  <c r="G282" i="48"/>
  <c r="G269" i="48"/>
  <c r="G277" i="48"/>
  <c r="G281" i="48"/>
  <c r="G285" i="48"/>
  <c r="G276" i="48"/>
  <c r="G272" i="48"/>
  <c r="H221" i="48"/>
  <c r="H271" i="48" s="1"/>
  <c r="H102" i="48"/>
  <c r="H103" i="48"/>
  <c r="J103" i="48" s="1"/>
  <c r="H104" i="48"/>
  <c r="J104" i="48" s="1"/>
  <c r="H107" i="48"/>
  <c r="J107" i="48" s="1"/>
  <c r="H109" i="48"/>
  <c r="J109" i="48" s="1"/>
  <c r="H106" i="48"/>
  <c r="J106" i="48" s="1"/>
  <c r="F100" i="45" l="1"/>
  <c r="F99" i="45"/>
  <c r="H92" i="45"/>
  <c r="G96" i="45"/>
  <c r="G98" i="45" s="1"/>
  <c r="H115" i="45"/>
  <c r="H116" i="45"/>
  <c r="J108" i="45"/>
  <c r="J112" i="45" s="1"/>
  <c r="J114" i="45" s="1"/>
  <c r="I112" i="45"/>
  <c r="I114" i="45" s="1"/>
  <c r="H217" i="48"/>
  <c r="H267" i="48" s="1"/>
  <c r="C26" i="49"/>
  <c r="C23" i="49"/>
  <c r="C24" i="49" s="1"/>
  <c r="H225" i="48"/>
  <c r="H275" i="48" s="1"/>
  <c r="J102" i="48"/>
  <c r="J111" i="48" s="1"/>
  <c r="H111" i="48"/>
  <c r="H223" i="48"/>
  <c r="H273" i="48" s="1"/>
  <c r="G111" i="48"/>
  <c r="H230" i="48"/>
  <c r="H280" i="48" s="1"/>
  <c r="H220" i="48"/>
  <c r="H270" i="48" s="1"/>
  <c r="G218" i="48"/>
  <c r="H218" i="48" s="1"/>
  <c r="H268" i="48" s="1"/>
  <c r="F266" i="48"/>
  <c r="F237" i="48"/>
  <c r="F287" i="48" s="1"/>
  <c r="G216" i="48"/>
  <c r="B220" i="48"/>
  <c r="B269" i="48"/>
  <c r="G100" i="45" l="1"/>
  <c r="G99" i="45"/>
  <c r="I92" i="45"/>
  <c r="H96" i="45"/>
  <c r="H98" i="45" s="1"/>
  <c r="I116" i="45"/>
  <c r="I115" i="45"/>
  <c r="J116" i="45"/>
  <c r="J115" i="45"/>
  <c r="G268" i="48"/>
  <c r="H216" i="48"/>
  <c r="G237" i="48"/>
  <c r="G287" i="48" s="1"/>
  <c r="G266" i="48"/>
  <c r="B270" i="48"/>
  <c r="B221" i="48"/>
  <c r="H99" i="45" l="1"/>
  <c r="H100" i="45"/>
  <c r="J92" i="45"/>
  <c r="J96" i="45" s="1"/>
  <c r="J98" i="45" s="1"/>
  <c r="I96" i="45"/>
  <c r="I98" i="45" s="1"/>
  <c r="H266" i="48"/>
  <c r="H237" i="48"/>
  <c r="B222" i="48"/>
  <c r="B271" i="48"/>
  <c r="J100" i="45" l="1"/>
  <c r="J99" i="45"/>
  <c r="I100" i="45"/>
  <c r="I99" i="45"/>
  <c r="H239" i="48"/>
  <c r="H289" i="48" s="1"/>
  <c r="H295" i="48" s="1"/>
  <c r="H287" i="48"/>
  <c r="B272" i="48"/>
  <c r="B223" i="48"/>
  <c r="B273" i="48" l="1"/>
  <c r="B224" i="48"/>
  <c r="B225" i="48" l="1"/>
  <c r="B274" i="48"/>
  <c r="B226" i="48" l="1"/>
  <c r="B275" i="48"/>
  <c r="B276" i="48" l="1"/>
  <c r="B227" i="48"/>
  <c r="B277" i="48" l="1"/>
  <c r="B228" i="48"/>
  <c r="B278" i="48" l="1"/>
  <c r="B229" i="48"/>
  <c r="B279" i="48" l="1"/>
  <c r="B230" i="48"/>
  <c r="B280" i="48" l="1"/>
  <c r="B231" i="48"/>
  <c r="B281" i="48" l="1"/>
  <c r="B232" i="48"/>
  <c r="B233" i="48" l="1"/>
  <c r="B282" i="48"/>
  <c r="B283" i="48" l="1"/>
  <c r="B234" i="48"/>
  <c r="B284" i="48" l="1"/>
  <c r="B235" i="48"/>
  <c r="B285" i="48" s="1"/>
  <c r="F10" i="48" l="1"/>
  <c r="F70" i="48"/>
  <c r="E70" i="48"/>
  <c r="D70" i="48"/>
  <c r="C70" i="48"/>
  <c r="F69" i="48"/>
  <c r="E69" i="48"/>
  <c r="D69" i="48"/>
  <c r="C69" i="48"/>
  <c r="F68" i="48"/>
  <c r="E68" i="48"/>
  <c r="D68" i="48"/>
  <c r="C68" i="48"/>
  <c r="F67" i="48"/>
  <c r="E67" i="48"/>
  <c r="D67" i="48"/>
  <c r="C67" i="48"/>
  <c r="F66" i="48"/>
  <c r="E66" i="48"/>
  <c r="D66" i="48"/>
  <c r="C66" i="48"/>
  <c r="F65" i="48"/>
  <c r="E65" i="48"/>
  <c r="D65" i="48"/>
  <c r="C65" i="48"/>
  <c r="F64" i="48"/>
  <c r="E64" i="48"/>
  <c r="D64" i="48"/>
  <c r="C64" i="48"/>
  <c r="F63" i="48"/>
  <c r="E63" i="48"/>
  <c r="D63" i="48"/>
  <c r="C63" i="48"/>
  <c r="G29" i="47" l="1"/>
  <c r="C301" i="47"/>
  <c r="C312" i="47"/>
  <c r="C313" i="47" s="1"/>
  <c r="B315" i="47" s="1"/>
  <c r="C279" i="47"/>
  <c r="C284" i="47"/>
  <c r="C285" i="47" s="1"/>
  <c r="B287" i="47" s="1"/>
  <c r="C269" i="47"/>
  <c r="C300" i="47"/>
  <c r="C254" i="47"/>
  <c r="C255" i="47" s="1"/>
  <c r="C239" i="47"/>
  <c r="C240" i="47" s="1"/>
  <c r="C221" i="47"/>
  <c r="C222" i="47" s="1"/>
  <c r="C206" i="47" l="1"/>
  <c r="C207" i="47" s="1"/>
  <c r="C190" i="47"/>
  <c r="C191" i="47" s="1"/>
  <c r="C176" i="47"/>
  <c r="C177" i="47" s="1"/>
  <c r="C162" i="47"/>
  <c r="C163" i="47" s="1"/>
  <c r="C178" i="47" l="1"/>
  <c r="D142" i="47"/>
  <c r="G142" i="47" s="1"/>
  <c r="H142" i="47" s="1"/>
  <c r="D143" i="47" s="1"/>
  <c r="F143" i="47" s="1"/>
  <c r="C124" i="47"/>
  <c r="C125" i="47" s="1"/>
  <c r="C127" i="47"/>
  <c r="F142" i="47" l="1"/>
  <c r="E142" i="47" s="1"/>
  <c r="C108" i="47"/>
  <c r="C101" i="47"/>
  <c r="C94" i="47"/>
  <c r="C88" i="47"/>
  <c r="C90" i="47" s="1"/>
  <c r="C96" i="47" s="1"/>
  <c r="C41" i="47"/>
  <c r="C64" i="47"/>
  <c r="C76" i="47"/>
  <c r="C77" i="47" s="1"/>
  <c r="C51" i="47"/>
  <c r="C52" i="47" s="1"/>
  <c r="G16" i="47"/>
  <c r="G17" i="47" s="1"/>
  <c r="G18" i="47" s="1"/>
  <c r="G19" i="47" s="1"/>
  <c r="G20" i="47" s="1"/>
  <c r="G21" i="47" s="1"/>
  <c r="G22" i="47" s="1"/>
  <c r="G23" i="47" s="1"/>
  <c r="G24" i="47" s="1"/>
  <c r="G25" i="47" s="1"/>
  <c r="F27" i="47" s="1"/>
  <c r="C16" i="47"/>
  <c r="C17" i="47" s="1"/>
  <c r="C18" i="47" s="1"/>
  <c r="C19" i="47" s="1"/>
  <c r="C20" i="47" s="1"/>
  <c r="C21" i="47" s="1"/>
  <c r="C22" i="47" s="1"/>
  <c r="C23" i="47" s="1"/>
  <c r="C24" i="47" s="1"/>
  <c r="C25" i="47" s="1"/>
  <c r="B352" i="47"/>
  <c r="AI345" i="47"/>
  <c r="AH345" i="47"/>
  <c r="AG345" i="47"/>
  <c r="AF345" i="47"/>
  <c r="AE345" i="47"/>
  <c r="AD345" i="47"/>
  <c r="AC345" i="47"/>
  <c r="AB345" i="47"/>
  <c r="AA345" i="47"/>
  <c r="Z345" i="47"/>
  <c r="Y345" i="47"/>
  <c r="W345" i="47"/>
  <c r="V345" i="47"/>
  <c r="U345" i="47"/>
  <c r="T345" i="47"/>
  <c r="S345" i="47"/>
  <c r="R345" i="47"/>
  <c r="Q345" i="47"/>
  <c r="P345" i="47"/>
  <c r="O345" i="47"/>
  <c r="N345" i="47"/>
  <c r="M345" i="47"/>
  <c r="K345" i="47"/>
  <c r="J345" i="47"/>
  <c r="I345" i="47"/>
  <c r="H345" i="47"/>
  <c r="G345" i="47"/>
  <c r="F345" i="47"/>
  <c r="E345" i="47"/>
  <c r="D345" i="47"/>
  <c r="AL343" i="47"/>
  <c r="AK343" i="47"/>
  <c r="AJ343" i="47"/>
  <c r="AI343" i="47"/>
  <c r="AH343" i="47"/>
  <c r="AG343" i="47"/>
  <c r="AF343" i="47"/>
  <c r="AE343" i="47"/>
  <c r="AD343" i="47"/>
  <c r="AC343" i="47"/>
  <c r="AB343" i="47"/>
  <c r="AA343" i="47"/>
  <c r="Z343" i="47"/>
  <c r="Y343" i="47"/>
  <c r="X343" i="47"/>
  <c r="W343" i="47"/>
  <c r="V343" i="47"/>
  <c r="U343" i="47"/>
  <c r="T343" i="47"/>
  <c r="S343" i="47"/>
  <c r="R343" i="47"/>
  <c r="Q343" i="47"/>
  <c r="P343" i="47"/>
  <c r="O343" i="47"/>
  <c r="N343" i="47"/>
  <c r="M343" i="47"/>
  <c r="L343" i="47"/>
  <c r="K343" i="47"/>
  <c r="J343" i="47"/>
  <c r="I343" i="47"/>
  <c r="H343" i="47"/>
  <c r="G343" i="47"/>
  <c r="F343" i="47"/>
  <c r="E343" i="47"/>
  <c r="D343" i="47"/>
  <c r="C343" i="47"/>
  <c r="D336" i="47"/>
  <c r="E336" i="47" s="1"/>
  <c r="F336" i="47" s="1"/>
  <c r="G336" i="47" s="1"/>
  <c r="H336" i="47" s="1"/>
  <c r="I336" i="47" s="1"/>
  <c r="J336" i="47" s="1"/>
  <c r="B336" i="47"/>
  <c r="B347" i="47" s="1"/>
  <c r="B350" i="47" s="1"/>
  <c r="E143" i="47" l="1"/>
  <c r="C97" i="47"/>
  <c r="C103" i="47"/>
  <c r="B353" i="47"/>
  <c r="B27" i="47"/>
  <c r="K336" i="47"/>
  <c r="L336" i="47" s="1"/>
  <c r="M336" i="47" s="1"/>
  <c r="N336" i="47" s="1"/>
  <c r="J337" i="47"/>
  <c r="F337" i="47"/>
  <c r="C337" i="47"/>
  <c r="C339" i="47" s="1"/>
  <c r="G337" i="47"/>
  <c r="D337" i="47"/>
  <c r="H337" i="47"/>
  <c r="E337" i="47"/>
  <c r="I337" i="47"/>
  <c r="E65" i="45"/>
  <c r="C147" i="45"/>
  <c r="C146" i="45"/>
  <c r="C142" i="45" s="1"/>
  <c r="C137" i="45"/>
  <c r="C143" i="45" s="1"/>
  <c r="D130" i="45"/>
  <c r="D128" i="45"/>
  <c r="E128" i="45" s="1"/>
  <c r="F128" i="45" s="1"/>
  <c r="G128" i="45" s="1"/>
  <c r="H128" i="45" s="1"/>
  <c r="I128" i="45" s="1"/>
  <c r="J128" i="45" s="1"/>
  <c r="E127" i="45"/>
  <c r="C70" i="45"/>
  <c r="C68" i="45"/>
  <c r="F67" i="45"/>
  <c r="E67" i="45"/>
  <c r="D67" i="45"/>
  <c r="F66" i="45"/>
  <c r="E66" i="45"/>
  <c r="D66" i="45"/>
  <c r="F65" i="45"/>
  <c r="D65" i="45"/>
  <c r="F64" i="45"/>
  <c r="E64" i="45"/>
  <c r="E72" i="45" s="1"/>
  <c r="D64" i="45"/>
  <c r="C41" i="45"/>
  <c r="C42" i="45" s="1"/>
  <c r="C39" i="45"/>
  <c r="G86" i="43"/>
  <c r="F86" i="43"/>
  <c r="E86" i="43"/>
  <c r="D86" i="43"/>
  <c r="G84" i="43"/>
  <c r="F84" i="43"/>
  <c r="E84" i="43"/>
  <c r="D84" i="43"/>
  <c r="E73" i="43"/>
  <c r="E74" i="43" s="1"/>
  <c r="D73" i="43"/>
  <c r="D74" i="43" s="1"/>
  <c r="E72" i="43"/>
  <c r="E85" i="43" s="1"/>
  <c r="E87" i="43" s="1"/>
  <c r="E90" i="43" s="1"/>
  <c r="D72" i="43"/>
  <c r="G65" i="43"/>
  <c r="F65" i="43"/>
  <c r="D44" i="43"/>
  <c r="D43" i="43"/>
  <c r="D42" i="43"/>
  <c r="D46" i="43" s="1"/>
  <c r="D40" i="43"/>
  <c r="D31" i="43"/>
  <c r="D32" i="43" s="1"/>
  <c r="D34" i="43" s="1"/>
  <c r="G30" i="43"/>
  <c r="F30" i="43"/>
  <c r="E30" i="43"/>
  <c r="D30" i="43"/>
  <c r="E25" i="43"/>
  <c r="E44" i="43" s="1"/>
  <c r="G23" i="43"/>
  <c r="F23" i="43"/>
  <c r="E23" i="43"/>
  <c r="D128" i="42"/>
  <c r="D129" i="42" s="1"/>
  <c r="D126" i="42"/>
  <c r="D124" i="42"/>
  <c r="D119" i="42"/>
  <c r="D125" i="42" s="1"/>
  <c r="D130" i="42" s="1"/>
  <c r="D131" i="42" s="1"/>
  <c r="D133" i="42" s="1"/>
  <c r="C135" i="42" s="1"/>
  <c r="C80" i="42"/>
  <c r="C81" i="42" s="1"/>
  <c r="C83" i="42" s="1"/>
  <c r="C85" i="42" s="1"/>
  <c r="B89" i="42" s="1"/>
  <c r="C77" i="42"/>
  <c r="C66" i="42"/>
  <c r="C58" i="42"/>
  <c r="C59" i="42" s="1"/>
  <c r="C60" i="42" s="1"/>
  <c r="C61" i="42" s="1"/>
  <c r="C56" i="42"/>
  <c r="C34" i="42"/>
  <c r="C33" i="42"/>
  <c r="C30" i="42"/>
  <c r="E30" i="42" s="1"/>
  <c r="C268" i="41"/>
  <c r="B268" i="41"/>
  <c r="C267" i="41"/>
  <c r="B267" i="41"/>
  <c r="C266" i="41"/>
  <c r="B266" i="41"/>
  <c r="C265" i="41"/>
  <c r="B265" i="41"/>
  <c r="C264" i="41"/>
  <c r="B264" i="41"/>
  <c r="C263" i="41"/>
  <c r="B263" i="41"/>
  <c r="C262" i="41"/>
  <c r="B262" i="41"/>
  <c r="C261" i="41"/>
  <c r="B261" i="41"/>
  <c r="C260" i="41"/>
  <c r="B260" i="41"/>
  <c r="C259" i="41"/>
  <c r="B259" i="41"/>
  <c r="C258" i="41"/>
  <c r="B258" i="41"/>
  <c r="C257" i="41"/>
  <c r="B257" i="41"/>
  <c r="C256" i="41"/>
  <c r="B256" i="41"/>
  <c r="C255" i="41"/>
  <c r="B255" i="41"/>
  <c r="C254" i="41"/>
  <c r="B254" i="41"/>
  <c r="C253" i="41"/>
  <c r="B253" i="41"/>
  <c r="C252" i="41"/>
  <c r="B252" i="41"/>
  <c r="C251" i="41"/>
  <c r="B251" i="41"/>
  <c r="C250" i="41"/>
  <c r="B250" i="41"/>
  <c r="C249" i="41"/>
  <c r="B249" i="41"/>
  <c r="C248" i="41"/>
  <c r="B248" i="41"/>
  <c r="C247" i="41"/>
  <c r="B247" i="41"/>
  <c r="C246" i="41"/>
  <c r="B246" i="41"/>
  <c r="C245" i="41"/>
  <c r="B245" i="41"/>
  <c r="C244" i="41"/>
  <c r="B244" i="41"/>
  <c r="C243" i="41"/>
  <c r="B243" i="41"/>
  <c r="C242" i="41"/>
  <c r="B242" i="41"/>
  <c r="C241" i="41"/>
  <c r="B241" i="41"/>
  <c r="C240" i="41"/>
  <c r="B240" i="41"/>
  <c r="C239" i="41"/>
  <c r="B239" i="41"/>
  <c r="C238" i="41"/>
  <c r="B238" i="41"/>
  <c r="C237" i="41"/>
  <c r="B237" i="41"/>
  <c r="C236" i="41"/>
  <c r="B236" i="41"/>
  <c r="C235" i="41"/>
  <c r="B235" i="41"/>
  <c r="C234" i="41"/>
  <c r="B234" i="41"/>
  <c r="C233" i="41"/>
  <c r="B233" i="41"/>
  <c r="C232" i="41"/>
  <c r="B232" i="41"/>
  <c r="C231" i="41"/>
  <c r="B231" i="41"/>
  <c r="C230" i="41"/>
  <c r="B230" i="41"/>
  <c r="C229" i="41"/>
  <c r="B229" i="41"/>
  <c r="C228" i="41"/>
  <c r="B228" i="41"/>
  <c r="C227" i="41"/>
  <c r="B227" i="41"/>
  <c r="C226" i="41"/>
  <c r="B226" i="41"/>
  <c r="C225" i="41"/>
  <c r="B225" i="41"/>
  <c r="C224" i="41"/>
  <c r="B224" i="41"/>
  <c r="C223" i="41"/>
  <c r="B223" i="41"/>
  <c r="C222" i="41"/>
  <c r="B222" i="41"/>
  <c r="C221" i="41"/>
  <c r="B221" i="41"/>
  <c r="C220" i="41"/>
  <c r="B220" i="41"/>
  <c r="C219" i="41"/>
  <c r="B219" i="41"/>
  <c r="C218" i="41"/>
  <c r="B218" i="41"/>
  <c r="C217" i="41"/>
  <c r="B217" i="41"/>
  <c r="C216" i="41"/>
  <c r="B216" i="41"/>
  <c r="C215" i="41"/>
  <c r="B215" i="41"/>
  <c r="C214" i="41"/>
  <c r="B214" i="41"/>
  <c r="C213" i="41"/>
  <c r="B213" i="41"/>
  <c r="C212" i="41"/>
  <c r="B212" i="41"/>
  <c r="C211" i="41"/>
  <c r="B211" i="41"/>
  <c r="C210" i="41"/>
  <c r="B210" i="41"/>
  <c r="C209" i="41"/>
  <c r="B209" i="41"/>
  <c r="C208" i="41"/>
  <c r="B208" i="41"/>
  <c r="C207" i="41"/>
  <c r="B207" i="41"/>
  <c r="C206" i="41"/>
  <c r="B206" i="41"/>
  <c r="C205" i="41"/>
  <c r="B205" i="41"/>
  <c r="C204" i="41"/>
  <c r="B204" i="41"/>
  <c r="C203" i="41"/>
  <c r="B203" i="41"/>
  <c r="C202" i="41"/>
  <c r="B202" i="41"/>
  <c r="C201" i="41"/>
  <c r="B201" i="41"/>
  <c r="C200" i="41"/>
  <c r="B200" i="41"/>
  <c r="C199" i="41"/>
  <c r="B199" i="41"/>
  <c r="C198" i="41"/>
  <c r="B198" i="41"/>
  <c r="C197" i="41"/>
  <c r="B197" i="41"/>
  <c r="C196" i="41"/>
  <c r="B196" i="41"/>
  <c r="C195" i="41"/>
  <c r="B195" i="41"/>
  <c r="C194" i="41"/>
  <c r="B194" i="41"/>
  <c r="C193" i="41"/>
  <c r="B193" i="41"/>
  <c r="C192" i="41"/>
  <c r="B192" i="41"/>
  <c r="C191" i="41"/>
  <c r="B191" i="41"/>
  <c r="C190" i="41"/>
  <c r="B190" i="41"/>
  <c r="C189" i="41"/>
  <c r="B189" i="41"/>
  <c r="C188" i="41"/>
  <c r="B188" i="41"/>
  <c r="C187" i="41"/>
  <c r="B187" i="41"/>
  <c r="C186" i="41"/>
  <c r="B186" i="41"/>
  <c r="C185" i="41"/>
  <c r="B185" i="41"/>
  <c r="C184" i="41"/>
  <c r="B184" i="41"/>
  <c r="C183" i="41"/>
  <c r="B183" i="41"/>
  <c r="C182" i="41"/>
  <c r="B182" i="41"/>
  <c r="C181" i="41"/>
  <c r="B181" i="41"/>
  <c r="C180" i="41"/>
  <c r="B180" i="41"/>
  <c r="C179" i="41"/>
  <c r="B179" i="41"/>
  <c r="C178" i="41"/>
  <c r="B178" i="41"/>
  <c r="C177" i="41"/>
  <c r="B177" i="41"/>
  <c r="C176" i="41"/>
  <c r="B176" i="41"/>
  <c r="C175" i="41"/>
  <c r="B175" i="41"/>
  <c r="C174" i="41"/>
  <c r="B174" i="41"/>
  <c r="C173" i="41"/>
  <c r="B173" i="41"/>
  <c r="C172" i="41"/>
  <c r="B172" i="41"/>
  <c r="C171" i="41"/>
  <c r="B171" i="41"/>
  <c r="C170" i="41"/>
  <c r="B170" i="41"/>
  <c r="C169" i="41"/>
  <c r="B169" i="41"/>
  <c r="C168" i="41"/>
  <c r="B168" i="41"/>
  <c r="C167" i="41"/>
  <c r="B167" i="41"/>
  <c r="C166" i="41"/>
  <c r="B166" i="41"/>
  <c r="C165" i="41"/>
  <c r="B165" i="41"/>
  <c r="C164" i="41"/>
  <c r="B164" i="41"/>
  <c r="C163" i="41"/>
  <c r="B163" i="41"/>
  <c r="C162" i="41"/>
  <c r="B162" i="41"/>
  <c r="C161" i="41"/>
  <c r="B161" i="41"/>
  <c r="C160" i="41"/>
  <c r="B160" i="41"/>
  <c r="C159" i="41"/>
  <c r="B159" i="41"/>
  <c r="C158" i="41"/>
  <c r="B158" i="41"/>
  <c r="C157" i="41"/>
  <c r="B157" i="41"/>
  <c r="C156" i="41"/>
  <c r="B156" i="41"/>
  <c r="C155" i="41"/>
  <c r="B155" i="41"/>
  <c r="C154" i="41"/>
  <c r="B154" i="41"/>
  <c r="C153" i="41"/>
  <c r="B153" i="41"/>
  <c r="C152" i="41"/>
  <c r="B152" i="41"/>
  <c r="C151" i="41"/>
  <c r="B151" i="41"/>
  <c r="C150" i="41"/>
  <c r="B150" i="41"/>
  <c r="C149" i="41"/>
  <c r="B149" i="41"/>
  <c r="C148" i="41"/>
  <c r="B148" i="41"/>
  <c r="C147" i="41"/>
  <c r="B147" i="41"/>
  <c r="C146" i="41"/>
  <c r="B146" i="41"/>
  <c r="C145" i="41"/>
  <c r="B145" i="41"/>
  <c r="C144" i="41"/>
  <c r="B144" i="41"/>
  <c r="C143" i="41"/>
  <c r="B143" i="41"/>
  <c r="C142" i="41"/>
  <c r="B142" i="41"/>
  <c r="C141" i="41"/>
  <c r="B141" i="41"/>
  <c r="C140" i="41"/>
  <c r="B140" i="41"/>
  <c r="C139" i="41"/>
  <c r="B139" i="41"/>
  <c r="C138" i="41"/>
  <c r="B138" i="41"/>
  <c r="C137" i="41"/>
  <c r="B137" i="41"/>
  <c r="C136" i="41"/>
  <c r="B136" i="41"/>
  <c r="C135" i="41"/>
  <c r="B135" i="41"/>
  <c r="C134" i="41"/>
  <c r="B134" i="41"/>
  <c r="C133" i="41"/>
  <c r="B133" i="41"/>
  <c r="C132" i="41"/>
  <c r="B132" i="41"/>
  <c r="C131" i="41"/>
  <c r="B131" i="41"/>
  <c r="C130" i="41"/>
  <c r="B130" i="41"/>
  <c r="C129" i="41"/>
  <c r="B129" i="41"/>
  <c r="C128" i="41"/>
  <c r="B128" i="41"/>
  <c r="C127" i="41"/>
  <c r="B127" i="41"/>
  <c r="C126" i="41"/>
  <c r="B126" i="41"/>
  <c r="C125" i="41"/>
  <c r="B125" i="41"/>
  <c r="C124" i="41"/>
  <c r="B124" i="41"/>
  <c r="C123" i="41"/>
  <c r="B123" i="41"/>
  <c r="C122" i="41"/>
  <c r="B122" i="41"/>
  <c r="C121" i="41"/>
  <c r="B121" i="41"/>
  <c r="C120" i="41"/>
  <c r="B120" i="41"/>
  <c r="C119" i="41"/>
  <c r="B119" i="41"/>
  <c r="C118" i="41"/>
  <c r="B118" i="41"/>
  <c r="C117" i="41"/>
  <c r="B117" i="41"/>
  <c r="C116" i="41"/>
  <c r="B116" i="41"/>
  <c r="C115" i="41"/>
  <c r="B115" i="41"/>
  <c r="C114" i="41"/>
  <c r="B114" i="41"/>
  <c r="C113" i="41"/>
  <c r="B113" i="41"/>
  <c r="C112" i="41"/>
  <c r="B112" i="41"/>
  <c r="C111" i="41"/>
  <c r="B111" i="41"/>
  <c r="C110" i="41"/>
  <c r="B110" i="41"/>
  <c r="C109" i="41"/>
  <c r="B109" i="41"/>
  <c r="C108" i="41"/>
  <c r="B108" i="41"/>
  <c r="C107" i="41"/>
  <c r="B107" i="41"/>
  <c r="C106" i="41"/>
  <c r="B106" i="41"/>
  <c r="C105" i="41"/>
  <c r="B105" i="41"/>
  <c r="C104" i="41"/>
  <c r="B104" i="41"/>
  <c r="C103" i="41"/>
  <c r="B103" i="41"/>
  <c r="C102" i="41"/>
  <c r="B102" i="41"/>
  <c r="C101" i="41"/>
  <c r="B101" i="41"/>
  <c r="H100" i="41"/>
  <c r="D100" i="41"/>
  <c r="D101" i="41" s="1"/>
  <c r="C100" i="41"/>
  <c r="B100" i="41"/>
  <c r="H99" i="41"/>
  <c r="I99" i="41" s="1"/>
  <c r="F99" i="41"/>
  <c r="P29" i="41"/>
  <c r="O29" i="41"/>
  <c r="N29" i="41"/>
  <c r="P24" i="41"/>
  <c r="O24" i="41"/>
  <c r="N24" i="41"/>
  <c r="C24" i="41"/>
  <c r="C25" i="41" s="1"/>
  <c r="C12" i="41"/>
  <c r="C13" i="41" s="1"/>
  <c r="C11" i="41"/>
  <c r="C10" i="41"/>
  <c r="D7" i="41"/>
  <c r="E7" i="41" s="1"/>
  <c r="D147" i="45" l="1"/>
  <c r="D144" i="45" s="1"/>
  <c r="C148" i="45"/>
  <c r="C144" i="45"/>
  <c r="C153" i="45" s="1"/>
  <c r="G143" i="47"/>
  <c r="E144" i="47"/>
  <c r="C104" i="47"/>
  <c r="C110" i="47"/>
  <c r="K337" i="47"/>
  <c r="M337" i="47"/>
  <c r="D339" i="47"/>
  <c r="E339" i="47" s="1"/>
  <c r="F339" i="47" s="1"/>
  <c r="G339" i="47" s="1"/>
  <c r="H339" i="47" s="1"/>
  <c r="I339" i="47" s="1"/>
  <c r="J339" i="47" s="1"/>
  <c r="L337" i="47"/>
  <c r="O336" i="47"/>
  <c r="N337" i="47"/>
  <c r="C112" i="45"/>
  <c r="C114" i="45" s="1"/>
  <c r="C116" i="45" s="1"/>
  <c r="E70" i="45"/>
  <c r="E73" i="45" s="1"/>
  <c r="F127" i="45"/>
  <c r="E137" i="45"/>
  <c r="E130" i="45"/>
  <c r="C139" i="45"/>
  <c r="C140" i="45"/>
  <c r="D137" i="45"/>
  <c r="D143" i="45" s="1"/>
  <c r="D146" i="45"/>
  <c r="D142" i="45" s="1"/>
  <c r="E68" i="45"/>
  <c r="C96" i="45"/>
  <c r="C98" i="45" s="1"/>
  <c r="E88" i="43"/>
  <c r="D80" i="43"/>
  <c r="D82" i="43" s="1"/>
  <c r="D76" i="43"/>
  <c r="D77" i="43" s="1"/>
  <c r="D78" i="43" s="1"/>
  <c r="E80" i="43"/>
  <c r="E82" i="43" s="1"/>
  <c r="E76" i="43"/>
  <c r="E77" i="43" s="1"/>
  <c r="E78" i="43" s="1"/>
  <c r="D85" i="43"/>
  <c r="D87" i="43" s="1"/>
  <c r="D90" i="43" s="1"/>
  <c r="D38" i="43"/>
  <c r="D35" i="43"/>
  <c r="D36" i="43" s="1"/>
  <c r="F25" i="43"/>
  <c r="D81" i="43"/>
  <c r="E81" i="43"/>
  <c r="D45" i="43"/>
  <c r="D47" i="43" s="1"/>
  <c r="F72" i="43"/>
  <c r="F73" i="43"/>
  <c r="E31" i="43"/>
  <c r="E32" i="43" s="1"/>
  <c r="E34" i="43" s="1"/>
  <c r="E40" i="43"/>
  <c r="E42" i="43"/>
  <c r="E43" i="43"/>
  <c r="G72" i="43"/>
  <c r="G73" i="43"/>
  <c r="G74" i="43" s="1"/>
  <c r="G85" i="43" s="1"/>
  <c r="G87" i="43" s="1"/>
  <c r="B69" i="42"/>
  <c r="C67" i="42"/>
  <c r="C32" i="42"/>
  <c r="C36" i="42" s="1"/>
  <c r="B38" i="42" s="1"/>
  <c r="F128" i="42"/>
  <c r="H101" i="41"/>
  <c r="I101" i="41" s="1"/>
  <c r="M101" i="41" s="1"/>
  <c r="D102" i="41"/>
  <c r="D103" i="41" s="1"/>
  <c r="D104" i="41" s="1"/>
  <c r="F100" i="41"/>
  <c r="I100" i="41"/>
  <c r="N100" i="41" s="1"/>
  <c r="N99" i="41"/>
  <c r="O99" i="41"/>
  <c r="Q99" i="41" s="1"/>
  <c r="M99" i="41"/>
  <c r="O100" i="41"/>
  <c r="Q100" i="41" s="1"/>
  <c r="L99" i="41"/>
  <c r="H103" i="41"/>
  <c r="I103" i="41" s="1"/>
  <c r="F101" i="41"/>
  <c r="H102" i="41"/>
  <c r="I102" i="41" s="1"/>
  <c r="E11" i="41"/>
  <c r="E12" i="41" s="1"/>
  <c r="F7" i="41"/>
  <c r="E10" i="41"/>
  <c r="D11" i="41"/>
  <c r="D12" i="41" s="1"/>
  <c r="C14" i="41"/>
  <c r="C27" i="41"/>
  <c r="D10" i="41"/>
  <c r="S456" i="24"/>
  <c r="R456" i="24"/>
  <c r="Q456" i="24"/>
  <c r="P456" i="24"/>
  <c r="O456" i="24"/>
  <c r="N456" i="24"/>
  <c r="M456" i="24"/>
  <c r="L456" i="24"/>
  <c r="N460" i="24"/>
  <c r="N461" i="24" s="1"/>
  <c r="N459" i="24"/>
  <c r="K457" i="24"/>
  <c r="L445" i="24"/>
  <c r="L449" i="24" s="1"/>
  <c r="L448" i="24" s="1"/>
  <c r="L450" i="24" s="1"/>
  <c r="K445" i="24"/>
  <c r="K449" i="24" s="1"/>
  <c r="K448" i="24" s="1"/>
  <c r="K450" i="24" s="1"/>
  <c r="M444" i="24"/>
  <c r="N444" i="24" s="1"/>
  <c r="O444" i="24" s="1"/>
  <c r="P444" i="24" s="1"/>
  <c r="L444" i="24"/>
  <c r="L443" i="24"/>
  <c r="M443" i="24" s="1"/>
  <c r="D153" i="45" l="1"/>
  <c r="C141" i="45"/>
  <c r="D148" i="45"/>
  <c r="K339" i="47"/>
  <c r="E145" i="47"/>
  <c r="E146" i="47" s="1"/>
  <c r="E147" i="47" s="1"/>
  <c r="H143" i="47"/>
  <c r="D144" i="47" s="1"/>
  <c r="C111" i="47"/>
  <c r="C113" i="47" s="1"/>
  <c r="L339" i="47"/>
  <c r="M339" i="47" s="1"/>
  <c r="N339" i="47" s="1"/>
  <c r="P336" i="47"/>
  <c r="O337" i="47"/>
  <c r="C115" i="45"/>
  <c r="E147" i="45"/>
  <c r="E146" i="45"/>
  <c r="E142" i="45" s="1"/>
  <c r="E143" i="45"/>
  <c r="F130" i="45"/>
  <c r="D140" i="45"/>
  <c r="D139" i="45"/>
  <c r="E140" i="45"/>
  <c r="E139" i="45"/>
  <c r="F137" i="45"/>
  <c r="G127" i="45"/>
  <c r="C145" i="45"/>
  <c r="C100" i="45"/>
  <c r="C99" i="45"/>
  <c r="G90" i="43"/>
  <c r="G88" i="43"/>
  <c r="E38" i="43"/>
  <c r="E35" i="43"/>
  <c r="E36" i="43" s="1"/>
  <c r="G80" i="43"/>
  <c r="G82" i="43" s="1"/>
  <c r="G76" i="43"/>
  <c r="G77" i="43" s="1"/>
  <c r="G78" i="43" s="1"/>
  <c r="G25" i="43"/>
  <c r="F40" i="43"/>
  <c r="F31" i="43"/>
  <c r="F32" i="43" s="1"/>
  <c r="F34" i="43" s="1"/>
  <c r="F43" i="43"/>
  <c r="F85" i="43"/>
  <c r="F87" i="43" s="1"/>
  <c r="E46" i="43"/>
  <c r="E47" i="43" s="1"/>
  <c r="E45" i="43"/>
  <c r="F74" i="43"/>
  <c r="F42" i="43"/>
  <c r="D88" i="43"/>
  <c r="F44" i="43"/>
  <c r="F103" i="41"/>
  <c r="F102" i="41"/>
  <c r="L100" i="41"/>
  <c r="M100" i="41"/>
  <c r="M102" i="41"/>
  <c r="N102" i="41"/>
  <c r="O102" i="41"/>
  <c r="Q102" i="41" s="1"/>
  <c r="L102" i="41"/>
  <c r="N103" i="41"/>
  <c r="M103" i="41"/>
  <c r="O103" i="41"/>
  <c r="Q103" i="41" s="1"/>
  <c r="L103" i="41"/>
  <c r="D105" i="41"/>
  <c r="H104" i="41"/>
  <c r="I104" i="41" s="1"/>
  <c r="F104" i="41"/>
  <c r="O101" i="41"/>
  <c r="Q101" i="41" s="1"/>
  <c r="N101" i="41"/>
  <c r="L101" i="41"/>
  <c r="E13" i="41"/>
  <c r="E14" i="41"/>
  <c r="D14" i="41"/>
  <c r="D13" i="41"/>
  <c r="E28" i="41"/>
  <c r="E29" i="41"/>
  <c r="D28" i="41"/>
  <c r="C28" i="41"/>
  <c r="G29" i="41"/>
  <c r="F11" i="41"/>
  <c r="F12" i="41" s="1"/>
  <c r="G7" i="41"/>
  <c r="F10" i="41"/>
  <c r="M445" i="24"/>
  <c r="N443" i="24"/>
  <c r="L452" i="24"/>
  <c r="K446" i="24"/>
  <c r="L446" i="24"/>
  <c r="D145" i="45" l="1"/>
  <c r="E145" i="45"/>
  <c r="O339" i="47"/>
  <c r="F144" i="47"/>
  <c r="E149" i="47"/>
  <c r="Q336" i="47"/>
  <c r="P337" i="47"/>
  <c r="P339" i="47" s="1"/>
  <c r="F147" i="45"/>
  <c r="F146" i="45"/>
  <c r="F142" i="45" s="1"/>
  <c r="F143" i="45"/>
  <c r="G130" i="45"/>
  <c r="E148" i="45"/>
  <c r="E144" i="45"/>
  <c r="E153" i="45" s="1"/>
  <c r="E141" i="45"/>
  <c r="H127" i="45"/>
  <c r="G137" i="45"/>
  <c r="F140" i="45"/>
  <c r="F139" i="45"/>
  <c r="D141" i="45"/>
  <c r="F46" i="43"/>
  <c r="F47" i="43" s="1"/>
  <c r="F45" i="43"/>
  <c r="F80" i="43"/>
  <c r="F76" i="43"/>
  <c r="F77" i="43" s="1"/>
  <c r="F78" i="43" s="1"/>
  <c r="G81" i="43"/>
  <c r="F90" i="43"/>
  <c r="F88" i="43"/>
  <c r="F38" i="43"/>
  <c r="F35" i="43"/>
  <c r="F36" i="43" s="1"/>
  <c r="G40" i="43"/>
  <c r="G31" i="43"/>
  <c r="G32" i="43" s="1"/>
  <c r="G34" i="43" s="1"/>
  <c r="G43" i="43"/>
  <c r="G44" i="43"/>
  <c r="G42" i="43"/>
  <c r="F105" i="41"/>
  <c r="D106" i="41"/>
  <c r="H105" i="41"/>
  <c r="I105" i="41" s="1"/>
  <c r="L105" i="41" s="1"/>
  <c r="O104" i="41"/>
  <c r="Q104" i="41" s="1"/>
  <c r="N104" i="41"/>
  <c r="M104" i="41"/>
  <c r="L104" i="41"/>
  <c r="F29" i="41"/>
  <c r="D29" i="41"/>
  <c r="C29" i="41"/>
  <c r="G11" i="41"/>
  <c r="G12" i="41" s="1"/>
  <c r="H7" i="41"/>
  <c r="G10" i="41"/>
  <c r="F14" i="41"/>
  <c r="F13" i="41"/>
  <c r="M452" i="24"/>
  <c r="N445" i="24"/>
  <c r="O443" i="24"/>
  <c r="M449" i="24"/>
  <c r="M448" i="24" s="1"/>
  <c r="M450" i="24" s="1"/>
  <c r="M446" i="24"/>
  <c r="F145" i="45" l="1"/>
  <c r="G144" i="47"/>
  <c r="R336" i="47"/>
  <c r="Q337" i="47"/>
  <c r="Q339" i="47" s="1"/>
  <c r="I127" i="45"/>
  <c r="H137" i="45"/>
  <c r="H130" i="45"/>
  <c r="G147" i="45"/>
  <c r="G146" i="45"/>
  <c r="G142" i="45" s="1"/>
  <c r="G143" i="45"/>
  <c r="G140" i="45"/>
  <c r="G139" i="45"/>
  <c r="F148" i="45"/>
  <c r="F144" i="45"/>
  <c r="F153" i="45" s="1"/>
  <c r="F141" i="45"/>
  <c r="G38" i="43"/>
  <c r="G35" i="43"/>
  <c r="G36" i="43" s="1"/>
  <c r="F82" i="43"/>
  <c r="F81" i="43"/>
  <c r="G46" i="43"/>
  <c r="G45" i="43"/>
  <c r="O105" i="41"/>
  <c r="Q105" i="41" s="1"/>
  <c r="N105" i="41"/>
  <c r="M105" i="41"/>
  <c r="F106" i="41"/>
  <c r="H106" i="41"/>
  <c r="I106" i="41" s="1"/>
  <c r="L106" i="41" s="1"/>
  <c r="D107" i="41"/>
  <c r="H10" i="41"/>
  <c r="I7" i="41"/>
  <c r="H11" i="41"/>
  <c r="H12" i="41" s="1"/>
  <c r="G13" i="41"/>
  <c r="G14" i="41"/>
  <c r="P443" i="24"/>
  <c r="P445" i="24" s="1"/>
  <c r="O445" i="24"/>
  <c r="N449" i="24"/>
  <c r="N448" i="24" s="1"/>
  <c r="N450" i="24" s="1"/>
  <c r="N452" i="24" s="1"/>
  <c r="N446" i="24"/>
  <c r="G145" i="45" l="1"/>
  <c r="H144" i="47"/>
  <c r="D145" i="47" s="1"/>
  <c r="F145" i="47" s="1"/>
  <c r="S336" i="47"/>
  <c r="R337" i="47"/>
  <c r="R339" i="47" s="1"/>
  <c r="H147" i="45"/>
  <c r="H146" i="45"/>
  <c r="H142" i="45" s="1"/>
  <c r="H143" i="45"/>
  <c r="I130" i="45"/>
  <c r="H140" i="45"/>
  <c r="H139" i="45"/>
  <c r="J127" i="45"/>
  <c r="J137" i="45" s="1"/>
  <c r="I137" i="45"/>
  <c r="G141" i="45"/>
  <c r="G148" i="45"/>
  <c r="G144" i="45"/>
  <c r="G153" i="45" s="1"/>
  <c r="G47" i="43"/>
  <c r="H107" i="41"/>
  <c r="I107" i="41" s="1"/>
  <c r="F107" i="41"/>
  <c r="D108" i="41"/>
  <c r="M106" i="41"/>
  <c r="N106" i="41"/>
  <c r="O106" i="41"/>
  <c r="Q106" i="41" s="1"/>
  <c r="H14" i="41"/>
  <c r="H13" i="41"/>
  <c r="I11" i="41"/>
  <c r="I12" i="41" s="1"/>
  <c r="I10" i="41"/>
  <c r="J7" i="41"/>
  <c r="O449" i="24"/>
  <c r="O448" i="24" s="1"/>
  <c r="O450" i="24" s="1"/>
  <c r="O452" i="24" s="1"/>
  <c r="P452" i="24" s="1"/>
  <c r="O446" i="24"/>
  <c r="P449" i="24"/>
  <c r="P448" i="24" s="1"/>
  <c r="P450" i="24" s="1"/>
  <c r="P446" i="24"/>
  <c r="H145" i="45" l="1"/>
  <c r="G145" i="47"/>
  <c r="T336" i="47"/>
  <c r="S337" i="47"/>
  <c r="S339" i="47" s="1"/>
  <c r="H148" i="45"/>
  <c r="H144" i="45"/>
  <c r="H153" i="45" s="1"/>
  <c r="I140" i="45"/>
  <c r="I139" i="45"/>
  <c r="I147" i="45"/>
  <c r="I146" i="45"/>
  <c r="I142" i="45" s="1"/>
  <c r="I143" i="45"/>
  <c r="J130" i="45"/>
  <c r="J140" i="45" s="1"/>
  <c r="H141" i="45"/>
  <c r="N107" i="41"/>
  <c r="M107" i="41"/>
  <c r="O107" i="41"/>
  <c r="Q107" i="41" s="1"/>
  <c r="L107" i="41"/>
  <c r="D109" i="41"/>
  <c r="H108" i="41"/>
  <c r="I108" i="41" s="1"/>
  <c r="L108" i="41"/>
  <c r="F108" i="41"/>
  <c r="I13" i="41"/>
  <c r="I14" i="41"/>
  <c r="K7" i="41"/>
  <c r="J10" i="41"/>
  <c r="J11" i="41"/>
  <c r="J12" i="41" s="1"/>
  <c r="E409" i="24"/>
  <c r="D403" i="24"/>
  <c r="D401" i="24"/>
  <c r="D395" i="24"/>
  <c r="D393" i="24"/>
  <c r="D391" i="24"/>
  <c r="D390" i="24"/>
  <c r="I141" i="45" l="1"/>
  <c r="H145" i="47"/>
  <c r="D146" i="47" s="1"/>
  <c r="U336" i="47"/>
  <c r="T337" i="47"/>
  <c r="T339" i="47" s="1"/>
  <c r="J139" i="45"/>
  <c r="J145" i="45" s="1"/>
  <c r="I148" i="45"/>
  <c r="I144" i="45"/>
  <c r="I153" i="45" s="1"/>
  <c r="J147" i="45"/>
  <c r="J146" i="45"/>
  <c r="J142" i="45" s="1"/>
  <c r="J143" i="45"/>
  <c r="I145" i="45"/>
  <c r="D110" i="41"/>
  <c r="F109" i="41"/>
  <c r="H109" i="41"/>
  <c r="I109" i="41" s="1"/>
  <c r="L109" i="41" s="1"/>
  <c r="O108" i="41"/>
  <c r="Q108" i="41" s="1"/>
  <c r="N108" i="41"/>
  <c r="M108" i="41"/>
  <c r="K11" i="41"/>
  <c r="K12" i="41" s="1"/>
  <c r="K10" i="41"/>
  <c r="L7" i="41"/>
  <c r="J14" i="41"/>
  <c r="J13" i="41"/>
  <c r="L387" i="40"/>
  <c r="M393" i="40" s="1"/>
  <c r="J387" i="40"/>
  <c r="K393" i="40" s="1"/>
  <c r="D387" i="40"/>
  <c r="E393" i="40" s="1"/>
  <c r="D396" i="40" s="1"/>
  <c r="D385" i="40"/>
  <c r="D388" i="40" s="1"/>
  <c r="L383" i="40"/>
  <c r="J383" i="40"/>
  <c r="F383" i="40"/>
  <c r="F382" i="40"/>
  <c r="L381" i="40"/>
  <c r="L385" i="40" s="1"/>
  <c r="L388" i="40" s="1"/>
  <c r="J381" i="40"/>
  <c r="J385" i="40" s="1"/>
  <c r="J388" i="40" s="1"/>
  <c r="F381" i="40"/>
  <c r="F385" i="40" s="1"/>
  <c r="F388" i="40" s="1"/>
  <c r="G394" i="40" s="1"/>
  <c r="G352" i="40"/>
  <c r="G353" i="40" s="1"/>
  <c r="F352" i="40"/>
  <c r="F353" i="40" s="1"/>
  <c r="E352" i="40"/>
  <c r="E353" i="40" s="1"/>
  <c r="D352" i="40"/>
  <c r="D353" i="40" s="1"/>
  <c r="G321" i="40"/>
  <c r="G322" i="40" s="1"/>
  <c r="F321" i="40"/>
  <c r="F322" i="40" s="1"/>
  <c r="E321" i="40"/>
  <c r="E322" i="40" s="1"/>
  <c r="D321" i="40"/>
  <c r="D322" i="40" s="1"/>
  <c r="F146" i="47" l="1"/>
  <c r="V336" i="47"/>
  <c r="U337" i="47"/>
  <c r="U339" i="47" s="1"/>
  <c r="J148" i="45"/>
  <c r="J144" i="45"/>
  <c r="J153" i="45" s="1"/>
  <c r="J141" i="45"/>
  <c r="O109" i="41"/>
  <c r="Q109" i="41" s="1"/>
  <c r="N109" i="41"/>
  <c r="M109" i="41"/>
  <c r="F110" i="41"/>
  <c r="H110" i="41"/>
  <c r="I110" i="41" s="1"/>
  <c r="L110" i="41" s="1"/>
  <c r="D111" i="41"/>
  <c r="L10" i="41"/>
  <c r="L11" i="41"/>
  <c r="L12" i="41" s="1"/>
  <c r="M7" i="41"/>
  <c r="K13" i="41"/>
  <c r="K14" i="41"/>
  <c r="K394" i="40"/>
  <c r="J397" i="40" s="1"/>
  <c r="J391" i="40"/>
  <c r="M394" i="40"/>
  <c r="L391" i="40"/>
  <c r="L397" i="40"/>
  <c r="F391" i="40"/>
  <c r="E394" i="40"/>
  <c r="D397" i="40" s="1"/>
  <c r="D391" i="40"/>
  <c r="F397" i="40"/>
  <c r="D399" i="40"/>
  <c r="L390" i="40"/>
  <c r="L396" i="40"/>
  <c r="D390" i="40"/>
  <c r="F387" i="40"/>
  <c r="G393" i="40" s="1"/>
  <c r="F396" i="40"/>
  <c r="J390" i="40"/>
  <c r="J396" i="40"/>
  <c r="D324" i="40"/>
  <c r="D323" i="40"/>
  <c r="D355" i="40"/>
  <c r="D354" i="40"/>
  <c r="E324" i="40"/>
  <c r="E323" i="40"/>
  <c r="E355" i="40"/>
  <c r="E354" i="40"/>
  <c r="F324" i="40"/>
  <c r="F323" i="40"/>
  <c r="F355" i="40"/>
  <c r="F357" i="40" s="1"/>
  <c r="C363" i="40" s="1"/>
  <c r="F354" i="40"/>
  <c r="G324" i="40"/>
  <c r="G323" i="40"/>
  <c r="G355" i="40"/>
  <c r="G354" i="40"/>
  <c r="G146" i="47" l="1"/>
  <c r="W336" i="47"/>
  <c r="V337" i="47"/>
  <c r="V339" i="47" s="1"/>
  <c r="H111" i="41"/>
  <c r="I111" i="41" s="1"/>
  <c r="F111" i="41"/>
  <c r="D112" i="41"/>
  <c r="M110" i="41"/>
  <c r="N110" i="41"/>
  <c r="O110" i="41"/>
  <c r="Q110" i="41" s="1"/>
  <c r="M10" i="41"/>
  <c r="M11" i="41"/>
  <c r="M12" i="41" s="1"/>
  <c r="N7" i="41"/>
  <c r="L14" i="41"/>
  <c r="L13" i="41"/>
  <c r="F399" i="40"/>
  <c r="F390" i="40"/>
  <c r="L399" i="40"/>
  <c r="J399" i="40"/>
  <c r="D357" i="40"/>
  <c r="C364" i="40" s="1"/>
  <c r="F326" i="40"/>
  <c r="C332" i="40" s="1"/>
  <c r="D326" i="40"/>
  <c r="C333" i="40" s="1"/>
  <c r="H146" i="47" l="1"/>
  <c r="D147" i="47" s="1"/>
  <c r="F147" i="47" s="1"/>
  <c r="X336" i="47"/>
  <c r="W337" i="47"/>
  <c r="W339" i="47" s="1"/>
  <c r="N111" i="41"/>
  <c r="M111" i="41"/>
  <c r="O111" i="41"/>
  <c r="Q111" i="41" s="1"/>
  <c r="L111" i="41"/>
  <c r="D113" i="41"/>
  <c r="H112" i="41"/>
  <c r="I112" i="41" s="1"/>
  <c r="L112" i="41"/>
  <c r="F112" i="41"/>
  <c r="N10" i="41"/>
  <c r="N11" i="41"/>
  <c r="N12" i="41" s="1"/>
  <c r="O7" i="41"/>
  <c r="M13" i="41"/>
  <c r="M14" i="41"/>
  <c r="C269" i="40"/>
  <c r="C270" i="40" s="1"/>
  <c r="C272" i="40"/>
  <c r="C205" i="40"/>
  <c r="C204" i="40"/>
  <c r="D204" i="40" s="1"/>
  <c r="C203" i="40"/>
  <c r="C202" i="40"/>
  <c r="C190" i="40"/>
  <c r="C191" i="40" s="1"/>
  <c r="D188" i="40"/>
  <c r="D187" i="40"/>
  <c r="E187" i="40" s="1"/>
  <c r="D186" i="40"/>
  <c r="E186" i="40" s="1"/>
  <c r="F186" i="40" s="1"/>
  <c r="D185" i="40"/>
  <c r="E185" i="40" s="1"/>
  <c r="F185" i="40" s="1"/>
  <c r="C165" i="40"/>
  <c r="C164" i="40"/>
  <c r="C167" i="40" s="1"/>
  <c r="C168" i="40" s="1"/>
  <c r="C163" i="40"/>
  <c r="D163" i="40" s="1"/>
  <c r="E163" i="40" s="1"/>
  <c r="F163" i="40" s="1"/>
  <c r="G163" i="40" s="1"/>
  <c r="C162" i="40"/>
  <c r="D162" i="40" s="1"/>
  <c r="E162" i="40" s="1"/>
  <c r="F162" i="40" s="1"/>
  <c r="C150" i="40"/>
  <c r="C151" i="40" s="1"/>
  <c r="D148" i="40"/>
  <c r="D165" i="40" s="1"/>
  <c r="D147" i="40"/>
  <c r="D164" i="40" s="1"/>
  <c r="D146" i="40"/>
  <c r="E146" i="40" s="1"/>
  <c r="D145" i="40"/>
  <c r="D116" i="40"/>
  <c r="J112" i="40"/>
  <c r="J113" i="40" s="1"/>
  <c r="J114" i="40" s="1"/>
  <c r="D112" i="40"/>
  <c r="D113" i="40" s="1"/>
  <c r="D114" i="40" s="1"/>
  <c r="P109" i="40"/>
  <c r="N109" i="40"/>
  <c r="N119" i="40" s="1"/>
  <c r="N120" i="40" s="1"/>
  <c r="N121" i="40" s="1"/>
  <c r="L109" i="40"/>
  <c r="J109" i="40"/>
  <c r="H109" i="40"/>
  <c r="F109" i="40"/>
  <c r="F119" i="40" s="1"/>
  <c r="F120" i="40" s="1"/>
  <c r="F121" i="40" s="1"/>
  <c r="P108" i="40"/>
  <c r="N108" i="40"/>
  <c r="L108" i="40"/>
  <c r="J108" i="40"/>
  <c r="H108" i="40"/>
  <c r="F108" i="40"/>
  <c r="P107" i="40"/>
  <c r="N107" i="40"/>
  <c r="L107" i="40"/>
  <c r="J107" i="40"/>
  <c r="H107" i="40"/>
  <c r="F107" i="40"/>
  <c r="P106" i="40"/>
  <c r="N106" i="40"/>
  <c r="L106" i="40"/>
  <c r="J106" i="40"/>
  <c r="J119" i="40" s="1"/>
  <c r="J120" i="40" s="1"/>
  <c r="J121" i="40" s="1"/>
  <c r="H106" i="40"/>
  <c r="F106" i="40"/>
  <c r="D106" i="40"/>
  <c r="D119" i="40" s="1"/>
  <c r="D90" i="40"/>
  <c r="D86" i="40"/>
  <c r="D87" i="40" s="1"/>
  <c r="D88" i="40" s="1"/>
  <c r="D83" i="40"/>
  <c r="D80" i="40"/>
  <c r="D81" i="40" s="1"/>
  <c r="D79" i="40"/>
  <c r="D75" i="40"/>
  <c r="P74" i="40"/>
  <c r="N74" i="40"/>
  <c r="L74" i="40"/>
  <c r="J74" i="40"/>
  <c r="H74" i="40"/>
  <c r="F74" i="40"/>
  <c r="P73" i="40"/>
  <c r="P86" i="40" s="1"/>
  <c r="N73" i="40"/>
  <c r="L73" i="40"/>
  <c r="L86" i="40" s="1"/>
  <c r="J73" i="40"/>
  <c r="H73" i="40"/>
  <c r="H86" i="40" s="1"/>
  <c r="F73" i="40"/>
  <c r="P72" i="40"/>
  <c r="P79" i="40" s="1"/>
  <c r="N72" i="40"/>
  <c r="N79" i="40" s="1"/>
  <c r="N80" i="40" s="1"/>
  <c r="N81" i="40" s="1"/>
  <c r="L72" i="40"/>
  <c r="L79" i="40" s="1"/>
  <c r="J72" i="40"/>
  <c r="J79" i="40" s="1"/>
  <c r="J80" i="40" s="1"/>
  <c r="J81" i="40" s="1"/>
  <c r="H72" i="40"/>
  <c r="H79" i="40" s="1"/>
  <c r="F72" i="40"/>
  <c r="F79" i="40" s="1"/>
  <c r="F80" i="40" s="1"/>
  <c r="F81" i="40" s="1"/>
  <c r="D52" i="40"/>
  <c r="D53" i="40" s="1"/>
  <c r="D54" i="40" s="1"/>
  <c r="D49" i="40"/>
  <c r="D45" i="40"/>
  <c r="D46" i="40" s="1"/>
  <c r="D47" i="40" s="1"/>
  <c r="D41" i="40"/>
  <c r="D21" i="40"/>
  <c r="D22" i="40" s="1"/>
  <c r="F15" i="40"/>
  <c r="F14" i="40"/>
  <c r="F13" i="40"/>
  <c r="F12" i="40"/>
  <c r="C181" i="39"/>
  <c r="D181" i="39" s="1"/>
  <c r="C180" i="39"/>
  <c r="C179" i="39"/>
  <c r="C178" i="39"/>
  <c r="D178" i="39" s="1"/>
  <c r="C177" i="39"/>
  <c r="D177" i="39" s="1"/>
  <c r="C176" i="39"/>
  <c r="C175" i="39"/>
  <c r="C174" i="39"/>
  <c r="D174" i="39" s="1"/>
  <c r="C172" i="39"/>
  <c r="D172" i="39" s="1"/>
  <c r="C171" i="39"/>
  <c r="C170" i="39"/>
  <c r="C169" i="39"/>
  <c r="D169" i="39" s="1"/>
  <c r="C168" i="39"/>
  <c r="D168" i="39" s="1"/>
  <c r="C167" i="39"/>
  <c r="C166" i="39"/>
  <c r="C165" i="39"/>
  <c r="F181" i="39"/>
  <c r="F180" i="39"/>
  <c r="F179" i="39"/>
  <c r="F178" i="39"/>
  <c r="F177" i="39"/>
  <c r="F176" i="39"/>
  <c r="F175" i="39"/>
  <c r="F174" i="39"/>
  <c r="H173" i="39"/>
  <c r="F173" i="39"/>
  <c r="F172" i="39"/>
  <c r="F171" i="39"/>
  <c r="F170" i="39"/>
  <c r="F169" i="39"/>
  <c r="F168" i="39"/>
  <c r="F167" i="39"/>
  <c r="F166" i="39"/>
  <c r="F165" i="39"/>
  <c r="D160" i="39"/>
  <c r="D161" i="39" s="1"/>
  <c r="E173" i="39" s="1"/>
  <c r="G173" i="39" s="1"/>
  <c r="C114" i="39"/>
  <c r="C115" i="39" s="1"/>
  <c r="C116" i="39" s="1"/>
  <c r="C70" i="39"/>
  <c r="C71" i="39" s="1"/>
  <c r="B44" i="39"/>
  <c r="C42" i="39"/>
  <c r="C43" i="39" s="1"/>
  <c r="C23" i="39"/>
  <c r="C19" i="39"/>
  <c r="C20" i="39" s="1"/>
  <c r="C21" i="39" s="1"/>
  <c r="C24" i="39" s="1"/>
  <c r="G147" i="47" l="1"/>
  <c r="F149" i="47"/>
  <c r="Y336" i="47"/>
  <c r="X337" i="47"/>
  <c r="X339" i="47" s="1"/>
  <c r="O112" i="41"/>
  <c r="Q112" i="41" s="1"/>
  <c r="N112" i="41"/>
  <c r="M112" i="41"/>
  <c r="D114" i="41"/>
  <c r="F113" i="41"/>
  <c r="H113" i="41"/>
  <c r="I113" i="41" s="1"/>
  <c r="L113" i="41" s="1"/>
  <c r="N14" i="41"/>
  <c r="N13" i="41"/>
  <c r="O11" i="41"/>
  <c r="O12" i="41" s="1"/>
  <c r="P7" i="41"/>
  <c r="O10" i="41"/>
  <c r="E148" i="40"/>
  <c r="F148" i="40" s="1"/>
  <c r="G148" i="40" s="1"/>
  <c r="D56" i="40"/>
  <c r="J75" i="40"/>
  <c r="L119" i="40"/>
  <c r="L120" i="40" s="1"/>
  <c r="L121" i="40" s="1"/>
  <c r="F112" i="40"/>
  <c r="F113" i="40" s="1"/>
  <c r="F114" i="40" s="1"/>
  <c r="D167" i="40"/>
  <c r="D168" i="40" s="1"/>
  <c r="D171" i="40" s="1"/>
  <c r="H75" i="40"/>
  <c r="D190" i="40"/>
  <c r="D191" i="40" s="1"/>
  <c r="D194" i="40" s="1"/>
  <c r="D61" i="40"/>
  <c r="D64" i="40" s="1"/>
  <c r="L75" i="40"/>
  <c r="F123" i="40"/>
  <c r="N123" i="40"/>
  <c r="P75" i="40"/>
  <c r="D94" i="40"/>
  <c r="D97" i="40" s="1"/>
  <c r="H119" i="40"/>
  <c r="H120" i="40" s="1"/>
  <c r="H121" i="40" s="1"/>
  <c r="P119" i="40"/>
  <c r="P120" i="40" s="1"/>
  <c r="P121" i="40" s="1"/>
  <c r="N112" i="40"/>
  <c r="N113" i="40" s="1"/>
  <c r="N114" i="40" s="1"/>
  <c r="F75" i="40"/>
  <c r="N75" i="40"/>
  <c r="J123" i="40"/>
  <c r="C154" i="40"/>
  <c r="C153" i="40"/>
  <c r="C152" i="40"/>
  <c r="H163" i="40"/>
  <c r="C169" i="40"/>
  <c r="F165" i="40"/>
  <c r="D193" i="40"/>
  <c r="E165" i="40"/>
  <c r="E145" i="40"/>
  <c r="F146" i="40"/>
  <c r="D150" i="40"/>
  <c r="D151" i="40" s="1"/>
  <c r="D153" i="40" s="1"/>
  <c r="G162" i="40"/>
  <c r="G186" i="40"/>
  <c r="F187" i="40"/>
  <c r="E147" i="40"/>
  <c r="D170" i="40"/>
  <c r="C170" i="40"/>
  <c r="C171" i="40"/>
  <c r="G185" i="40"/>
  <c r="D205" i="40"/>
  <c r="D207" i="40" s="1"/>
  <c r="D208" i="40" s="1"/>
  <c r="E188" i="40"/>
  <c r="C194" i="40"/>
  <c r="C193" i="40"/>
  <c r="C192" i="40"/>
  <c r="D203" i="40"/>
  <c r="D202" i="40"/>
  <c r="E204" i="40"/>
  <c r="C207" i="40"/>
  <c r="C208" i="40" s="1"/>
  <c r="C211" i="40" s="1"/>
  <c r="L83" i="40"/>
  <c r="L80" i="40"/>
  <c r="L81" i="40" s="1"/>
  <c r="D28" i="40"/>
  <c r="D26" i="40"/>
  <c r="D25" i="40"/>
  <c r="D29" i="40"/>
  <c r="D27" i="40"/>
  <c r="H87" i="40"/>
  <c r="H88" i="40" s="1"/>
  <c r="H90" i="40"/>
  <c r="H80" i="40"/>
  <c r="H81" i="40" s="1"/>
  <c r="H83" i="40"/>
  <c r="P80" i="40"/>
  <c r="P81" i="40" s="1"/>
  <c r="P83" i="40"/>
  <c r="L90" i="40"/>
  <c r="L87" i="40"/>
  <c r="L88" i="40" s="1"/>
  <c r="D95" i="40"/>
  <c r="D120" i="40"/>
  <c r="D121" i="40" s="1"/>
  <c r="D123" i="40"/>
  <c r="D127" i="40" s="1"/>
  <c r="P87" i="40"/>
  <c r="P88" i="40" s="1"/>
  <c r="P90" i="40"/>
  <c r="J86" i="40"/>
  <c r="J87" i="40" s="1"/>
  <c r="J88" i="40" s="1"/>
  <c r="J83" i="40"/>
  <c r="H112" i="40"/>
  <c r="H113" i="40" s="1"/>
  <c r="H114" i="40" s="1"/>
  <c r="P112" i="40"/>
  <c r="P113" i="40" s="1"/>
  <c r="P114" i="40" s="1"/>
  <c r="F116" i="40"/>
  <c r="N116" i="40"/>
  <c r="F86" i="40"/>
  <c r="F87" i="40" s="1"/>
  <c r="F88" i="40" s="1"/>
  <c r="P123" i="40"/>
  <c r="N86" i="40"/>
  <c r="N87" i="40" s="1"/>
  <c r="N88" i="40" s="1"/>
  <c r="F83" i="40"/>
  <c r="N83" i="40"/>
  <c r="L112" i="40"/>
  <c r="L113" i="40" s="1"/>
  <c r="L114" i="40" s="1"/>
  <c r="J116" i="40"/>
  <c r="E170" i="39"/>
  <c r="G170" i="39" s="1"/>
  <c r="H169" i="39"/>
  <c r="E171" i="39"/>
  <c r="G171" i="39" s="1"/>
  <c r="H170" i="39"/>
  <c r="E168" i="39"/>
  <c r="G168" i="39" s="1"/>
  <c r="E172" i="39"/>
  <c r="G172" i="39" s="1"/>
  <c r="H172" i="39" s="1"/>
  <c r="E177" i="39"/>
  <c r="G177" i="39" s="1"/>
  <c r="E181" i="39"/>
  <c r="G181" i="39" s="1"/>
  <c r="H181" i="39" s="1"/>
  <c r="H171" i="39"/>
  <c r="C118" i="39"/>
  <c r="C120" i="39" s="1"/>
  <c r="C121" i="39" s="1"/>
  <c r="E165" i="39"/>
  <c r="G165" i="39" s="1"/>
  <c r="H165" i="39" s="1"/>
  <c r="E169" i="39"/>
  <c r="G169" i="39" s="1"/>
  <c r="E174" i="39"/>
  <c r="G174" i="39" s="1"/>
  <c r="H174" i="39" s="1"/>
  <c r="E178" i="39"/>
  <c r="G178" i="39" s="1"/>
  <c r="H178" i="39" s="1"/>
  <c r="H168" i="39"/>
  <c r="H177" i="39"/>
  <c r="D165" i="39"/>
  <c r="D166" i="39"/>
  <c r="E166" i="39" s="1"/>
  <c r="G166" i="39" s="1"/>
  <c r="H166" i="39" s="1"/>
  <c r="D170" i="39"/>
  <c r="D175" i="39"/>
  <c r="E175" i="39" s="1"/>
  <c r="G175" i="39" s="1"/>
  <c r="H175" i="39" s="1"/>
  <c r="D179" i="39"/>
  <c r="E179" i="39" s="1"/>
  <c r="G179" i="39" s="1"/>
  <c r="H179" i="39" s="1"/>
  <c r="D167" i="39"/>
  <c r="E167" i="39" s="1"/>
  <c r="G167" i="39" s="1"/>
  <c r="H167" i="39" s="1"/>
  <c r="D171" i="39"/>
  <c r="D176" i="39"/>
  <c r="E176" i="39" s="1"/>
  <c r="G176" i="39" s="1"/>
  <c r="H176" i="39" s="1"/>
  <c r="D180" i="39"/>
  <c r="E180" i="39" s="1"/>
  <c r="G180" i="39" s="1"/>
  <c r="H180" i="39" s="1"/>
  <c r="C74" i="39"/>
  <c r="C75" i="39" s="1"/>
  <c r="C76" i="39" s="1"/>
  <c r="C77" i="39"/>
  <c r="C45" i="39"/>
  <c r="C46" i="39" s="1"/>
  <c r="C47" i="39" s="1"/>
  <c r="C44" i="39"/>
  <c r="C127" i="39"/>
  <c r="D20" i="39"/>
  <c r="M350" i="38"/>
  <c r="M352" i="38"/>
  <c r="M351" i="38"/>
  <c r="N336" i="38"/>
  <c r="N335" i="38"/>
  <c r="N350" i="38" s="1"/>
  <c r="N334" i="38"/>
  <c r="W276" i="38"/>
  <c r="V276" i="38"/>
  <c r="U276" i="38"/>
  <c r="T276" i="38"/>
  <c r="S276" i="38"/>
  <c r="R276" i="38"/>
  <c r="Q276" i="38"/>
  <c r="P276" i="38"/>
  <c r="O276" i="38"/>
  <c r="N276" i="38"/>
  <c r="M276" i="38"/>
  <c r="M260" i="38"/>
  <c r="M261" i="38" s="1"/>
  <c r="M262" i="38" s="1"/>
  <c r="M267" i="38" s="1"/>
  <c r="M269" i="38" s="1"/>
  <c r="N258" i="38"/>
  <c r="O258" i="38" s="1"/>
  <c r="C245" i="38"/>
  <c r="C227" i="38"/>
  <c r="C228" i="38" s="1"/>
  <c r="C230" i="38" s="1"/>
  <c r="C231" i="38" s="1"/>
  <c r="C232" i="38" s="1"/>
  <c r="C236" i="38" s="1"/>
  <c r="C238" i="38" s="1"/>
  <c r="C239" i="38" s="1"/>
  <c r="C240" i="38" s="1"/>
  <c r="C242" i="38" s="1"/>
  <c r="C244" i="38" s="1"/>
  <c r="C247" i="38" s="1"/>
  <c r="D172" i="38"/>
  <c r="D147" i="38"/>
  <c r="D151" i="38" s="1"/>
  <c r="D152" i="38" s="1"/>
  <c r="D153" i="38" s="1"/>
  <c r="D161" i="38" s="1"/>
  <c r="D166" i="38" s="1"/>
  <c r="D167" i="38" s="1"/>
  <c r="D169" i="38" s="1"/>
  <c r="D171" i="38" s="1"/>
  <c r="D125" i="38"/>
  <c r="D120" i="38"/>
  <c r="D122" i="38" s="1"/>
  <c r="D127" i="38" s="1"/>
  <c r="D128" i="38" s="1"/>
  <c r="L388" i="38"/>
  <c r="M386" i="38"/>
  <c r="M388" i="38" s="1"/>
  <c r="N384" i="38"/>
  <c r="N386" i="38" s="1"/>
  <c r="N388" i="38" s="1"/>
  <c r="C13" i="38"/>
  <c r="C14" i="38" s="1"/>
  <c r="C11" i="38"/>
  <c r="C104" i="36"/>
  <c r="C99" i="36"/>
  <c r="C100" i="36" s="1"/>
  <c r="C101" i="36" s="1"/>
  <c r="C102" i="36" s="1"/>
  <c r="C106" i="36" s="1"/>
  <c r="C76" i="36"/>
  <c r="C77" i="36" s="1"/>
  <c r="C79" i="36" s="1"/>
  <c r="C30" i="36"/>
  <c r="C18" i="36"/>
  <c r="C19" i="36" s="1"/>
  <c r="C20" i="36" s="1"/>
  <c r="C21" i="36" s="1"/>
  <c r="C23" i="36" s="1"/>
  <c r="C24" i="36" s="1"/>
  <c r="C15" i="36"/>
  <c r="C14" i="36"/>
  <c r="C16" i="36" s="1"/>
  <c r="E212" i="35"/>
  <c r="E204" i="35"/>
  <c r="E205" i="35" s="1"/>
  <c r="E203" i="35"/>
  <c r="H199" i="35"/>
  <c r="F197" i="35"/>
  <c r="E193" i="35"/>
  <c r="E194" i="35" s="1"/>
  <c r="F194" i="35" s="1"/>
  <c r="E198" i="35" s="1"/>
  <c r="F198" i="35" s="1"/>
  <c r="E192" i="35"/>
  <c r="E195" i="35" s="1"/>
  <c r="C159" i="35"/>
  <c r="C150" i="35"/>
  <c r="C151" i="35" s="1"/>
  <c r="C152" i="35" s="1"/>
  <c r="D144" i="35"/>
  <c r="D146" i="35" s="1"/>
  <c r="C141" i="35"/>
  <c r="D141" i="35" s="1"/>
  <c r="C145" i="35" s="1"/>
  <c r="D145" i="35" s="1"/>
  <c r="C140" i="35"/>
  <c r="D140" i="35" s="1"/>
  <c r="C139" i="35"/>
  <c r="C89" i="35"/>
  <c r="F89" i="35"/>
  <c r="C90" i="35"/>
  <c r="C92" i="35"/>
  <c r="C93" i="35" s="1"/>
  <c r="C98" i="35" s="1"/>
  <c r="C103" i="35"/>
  <c r="C104" i="35"/>
  <c r="C118" i="35"/>
  <c r="J92" i="34"/>
  <c r="G92" i="34"/>
  <c r="D92" i="34"/>
  <c r="I87" i="34"/>
  <c r="I88" i="34" s="1"/>
  <c r="I86" i="34"/>
  <c r="F86" i="34"/>
  <c r="F87" i="34" s="1"/>
  <c r="I85" i="34"/>
  <c r="F85" i="34"/>
  <c r="C85" i="34"/>
  <c r="C86" i="34" s="1"/>
  <c r="C87" i="34" s="1"/>
  <c r="C55" i="35"/>
  <c r="C51" i="35"/>
  <c r="C44" i="35"/>
  <c r="C34" i="35"/>
  <c r="C26" i="35"/>
  <c r="C27" i="35" s="1"/>
  <c r="C29" i="35" s="1"/>
  <c r="C65" i="34"/>
  <c r="B65" i="34"/>
  <c r="C62" i="34"/>
  <c r="C63" i="34" s="1"/>
  <c r="C60" i="34"/>
  <c r="C69" i="34" s="1"/>
  <c r="C59" i="34"/>
  <c r="C58" i="34"/>
  <c r="C199" i="32"/>
  <c r="C200" i="32" s="1"/>
  <c r="C201" i="32" s="1"/>
  <c r="C197" i="32"/>
  <c r="C196" i="32"/>
  <c r="C195" i="32"/>
  <c r="C172" i="32"/>
  <c r="C174" i="32" s="1"/>
  <c r="C175" i="32" s="1"/>
  <c r="C171" i="32"/>
  <c r="C161" i="32"/>
  <c r="E161" i="32" s="1"/>
  <c r="C159" i="32"/>
  <c r="C140" i="32"/>
  <c r="C142" i="32" s="1"/>
  <c r="B144" i="32" s="1"/>
  <c r="C128" i="32"/>
  <c r="C130" i="32" s="1"/>
  <c r="C132" i="32" s="1"/>
  <c r="B134" i="32" s="1"/>
  <c r="E110" i="32"/>
  <c r="C103" i="32"/>
  <c r="E104" i="32" s="1"/>
  <c r="C110" i="32" s="1"/>
  <c r="C85" i="32"/>
  <c r="C87" i="32" s="1"/>
  <c r="B90" i="32" s="1"/>
  <c r="D83" i="32"/>
  <c r="C83" i="32"/>
  <c r="E83" i="32" s="1"/>
  <c r="C62" i="32"/>
  <c r="K66" i="32"/>
  <c r="H13" i="34"/>
  <c r="F18" i="34"/>
  <c r="F17" i="34"/>
  <c r="F16" i="34"/>
  <c r="F15" i="34"/>
  <c r="G14" i="34"/>
  <c r="G15" i="34" s="1"/>
  <c r="H15" i="34" s="1"/>
  <c r="F14" i="34"/>
  <c r="F13" i="34"/>
  <c r="B18" i="33"/>
  <c r="B15" i="33"/>
  <c r="C13" i="33"/>
  <c r="B11" i="33"/>
  <c r="C10" i="33"/>
  <c r="C11" i="33" s="1"/>
  <c r="G42" i="32"/>
  <c r="G38" i="32" s="1"/>
  <c r="G46" i="32" s="1"/>
  <c r="K41" i="32"/>
  <c r="C41" i="32"/>
  <c r="K38" i="32"/>
  <c r="K37" i="32" s="1"/>
  <c r="K46" i="32" s="1"/>
  <c r="C38" i="32"/>
  <c r="C39" i="32" s="1"/>
  <c r="C26" i="32"/>
  <c r="C27" i="32" s="1"/>
  <c r="K22" i="32"/>
  <c r="K21" i="32" s="1"/>
  <c r="G17" i="32"/>
  <c r="G26" i="32" s="1"/>
  <c r="G27" i="32" s="1"/>
  <c r="G21" i="32"/>
  <c r="H147" i="47" l="1"/>
  <c r="G149" i="47"/>
  <c r="Z336" i="47"/>
  <c r="Y337" i="47"/>
  <c r="Y339" i="47" s="1"/>
  <c r="O113" i="41"/>
  <c r="Q113" i="41" s="1"/>
  <c r="N113" i="41"/>
  <c r="M113" i="41"/>
  <c r="F114" i="41"/>
  <c r="H114" i="41"/>
  <c r="I114" i="41" s="1"/>
  <c r="L114" i="41" s="1"/>
  <c r="D115" i="41"/>
  <c r="P10" i="41"/>
  <c r="Q7" i="41"/>
  <c r="P11" i="41"/>
  <c r="P12" i="41" s="1"/>
  <c r="O13" i="41"/>
  <c r="O14" i="41"/>
  <c r="J90" i="40"/>
  <c r="H94" i="40"/>
  <c r="H95" i="40" s="1"/>
  <c r="D169" i="40"/>
  <c r="D174" i="40" s="1"/>
  <c r="F29" i="40"/>
  <c r="L123" i="40"/>
  <c r="P116" i="40"/>
  <c r="P127" i="40" s="1"/>
  <c r="P128" i="40" s="1"/>
  <c r="D62" i="40"/>
  <c r="N127" i="40"/>
  <c r="N128" i="40" s="1"/>
  <c r="F26" i="40"/>
  <c r="D192" i="40"/>
  <c r="D196" i="40" s="1"/>
  <c r="D154" i="40"/>
  <c r="D176" i="40" s="1"/>
  <c r="H123" i="40"/>
  <c r="J127" i="40"/>
  <c r="F127" i="40"/>
  <c r="F130" i="40" s="1"/>
  <c r="F27" i="40"/>
  <c r="F28" i="40"/>
  <c r="D152" i="40"/>
  <c r="D157" i="40" s="1"/>
  <c r="C176" i="40"/>
  <c r="C216" i="40"/>
  <c r="E205" i="40"/>
  <c r="E207" i="40" s="1"/>
  <c r="E208" i="40" s="1"/>
  <c r="F188" i="40"/>
  <c r="H162" i="40"/>
  <c r="I163" i="40"/>
  <c r="C209" i="40"/>
  <c r="C210" i="40"/>
  <c r="C197" i="40"/>
  <c r="C196" i="40"/>
  <c r="D209" i="40"/>
  <c r="F190" i="40"/>
  <c r="F191" i="40" s="1"/>
  <c r="G187" i="40"/>
  <c r="D156" i="40"/>
  <c r="F145" i="40"/>
  <c r="G165" i="40"/>
  <c r="H148" i="40"/>
  <c r="C174" i="40"/>
  <c r="C173" i="40"/>
  <c r="C157" i="40"/>
  <c r="C156" i="40"/>
  <c r="D211" i="40"/>
  <c r="E203" i="40"/>
  <c r="D210" i="40"/>
  <c r="E202" i="40"/>
  <c r="E190" i="40"/>
  <c r="E191" i="40" s="1"/>
  <c r="G146" i="40"/>
  <c r="D216" i="40"/>
  <c r="F204" i="40"/>
  <c r="H185" i="40"/>
  <c r="E164" i="40"/>
  <c r="E167" i="40" s="1"/>
  <c r="E168" i="40" s="1"/>
  <c r="F147" i="40"/>
  <c r="E150" i="40"/>
  <c r="E151" i="40" s="1"/>
  <c r="E153" i="40" s="1"/>
  <c r="H186" i="40"/>
  <c r="P130" i="40"/>
  <c r="J128" i="40"/>
  <c r="J130" i="40"/>
  <c r="H116" i="40"/>
  <c r="N130" i="40"/>
  <c r="J94" i="40"/>
  <c r="D128" i="40"/>
  <c r="D130" i="40"/>
  <c r="N90" i="40"/>
  <c r="F128" i="40"/>
  <c r="L116" i="40"/>
  <c r="L127" i="40" s="1"/>
  <c r="F90" i="40"/>
  <c r="F94" i="40" s="1"/>
  <c r="N94" i="40"/>
  <c r="P94" i="40"/>
  <c r="B32" i="40"/>
  <c r="L94" i="40"/>
  <c r="C123" i="39"/>
  <c r="C125" i="39" s="1"/>
  <c r="C129" i="39" s="1"/>
  <c r="C130" i="39" s="1"/>
  <c r="C131" i="39" s="1"/>
  <c r="F121" i="39"/>
  <c r="C82" i="39"/>
  <c r="C79" i="39"/>
  <c r="D174" i="38"/>
  <c r="D175" i="38" s="1"/>
  <c r="O334" i="38"/>
  <c r="O336" i="38"/>
  <c r="O335" i="38"/>
  <c r="N340" i="38"/>
  <c r="N341" i="38" s="1"/>
  <c r="N351" i="38" s="1"/>
  <c r="C16" i="38"/>
  <c r="D130" i="38"/>
  <c r="N260" i="38"/>
  <c r="N261" i="38" s="1"/>
  <c r="N262" i="38" s="1"/>
  <c r="N267" i="38" s="1"/>
  <c r="N269" i="38" s="1"/>
  <c r="N283" i="38"/>
  <c r="N284" i="38" s="1"/>
  <c r="P258" i="38"/>
  <c r="O260" i="38"/>
  <c r="O261" i="38" s="1"/>
  <c r="O262" i="38" s="1"/>
  <c r="O267" i="38" s="1"/>
  <c r="M283" i="38"/>
  <c r="M284" i="38" s="1"/>
  <c r="O384" i="38"/>
  <c r="O386" i="38" s="1"/>
  <c r="O388" i="38" s="1"/>
  <c r="B83" i="36"/>
  <c r="C81" i="36"/>
  <c r="B85" i="36"/>
  <c r="B84" i="36"/>
  <c r="C80" i="36"/>
  <c r="C26" i="36"/>
  <c r="C28" i="36" s="1"/>
  <c r="C32" i="36" s="1"/>
  <c r="F199" i="35"/>
  <c r="E207" i="35" s="1"/>
  <c r="C154" i="35"/>
  <c r="C102" i="35"/>
  <c r="C120" i="35"/>
  <c r="F92" i="34"/>
  <c r="F94" i="34" s="1"/>
  <c r="F95" i="34" s="1"/>
  <c r="F96" i="34" s="1"/>
  <c r="F88" i="34"/>
  <c r="C88" i="34"/>
  <c r="C92" i="34"/>
  <c r="C94" i="34" s="1"/>
  <c r="C95" i="34" s="1"/>
  <c r="C96" i="34" s="1"/>
  <c r="I92" i="34"/>
  <c r="I94" i="34" s="1"/>
  <c r="I95" i="34" s="1"/>
  <c r="I96" i="34" s="1"/>
  <c r="C36" i="35"/>
  <c r="C66" i="34"/>
  <c r="C67" i="34" s="1"/>
  <c r="C70" i="34"/>
  <c r="C71" i="34" s="1"/>
  <c r="G66" i="32"/>
  <c r="H62" i="32" s="1"/>
  <c r="C46" i="32"/>
  <c r="F128" i="32"/>
  <c r="C163" i="32"/>
  <c r="C165" i="32" s="1"/>
  <c r="E165" i="32"/>
  <c r="E162" i="32"/>
  <c r="C169" i="32"/>
  <c r="C167" i="32"/>
  <c r="C177" i="32"/>
  <c r="C106" i="32"/>
  <c r="C58" i="32"/>
  <c r="C57" i="32" s="1"/>
  <c r="G41" i="32"/>
  <c r="K17" i="32"/>
  <c r="K26" i="32" s="1"/>
  <c r="K27" i="32" s="1"/>
  <c r="G67" i="32"/>
  <c r="K67" i="32"/>
  <c r="L62" i="32"/>
  <c r="H14" i="34"/>
  <c r="G16" i="34"/>
  <c r="D13" i="33"/>
  <c r="C18" i="33"/>
  <c r="C20" i="33"/>
  <c r="D10" i="33"/>
  <c r="C15" i="33"/>
  <c r="C16" i="33" s="1"/>
  <c r="G47" i="32"/>
  <c r="H42" i="32"/>
  <c r="L22" i="32"/>
  <c r="K47" i="32"/>
  <c r="L42" i="32"/>
  <c r="H22" i="32"/>
  <c r="G19" i="32"/>
  <c r="C22" i="32"/>
  <c r="AA336" i="47" l="1"/>
  <c r="Z337" i="47"/>
  <c r="Z339" i="47" s="1"/>
  <c r="H115" i="41"/>
  <c r="I115" i="41" s="1"/>
  <c r="L115" i="41" s="1"/>
  <c r="D116" i="41"/>
  <c r="F115" i="41"/>
  <c r="M114" i="41"/>
  <c r="N114" i="41"/>
  <c r="O114" i="41"/>
  <c r="Q114" i="41" s="1"/>
  <c r="P13" i="41"/>
  <c r="P14" i="41"/>
  <c r="Q11" i="41"/>
  <c r="Q12" i="41" s="1"/>
  <c r="R7" i="41"/>
  <c r="Q10" i="41"/>
  <c r="H97" i="40"/>
  <c r="D173" i="40"/>
  <c r="D197" i="40"/>
  <c r="H127" i="40"/>
  <c r="E171" i="40"/>
  <c r="E170" i="40"/>
  <c r="E194" i="40"/>
  <c r="E193" i="40"/>
  <c r="F193" i="40"/>
  <c r="F194" i="40"/>
  <c r="I185" i="40"/>
  <c r="E210" i="40"/>
  <c r="F202" i="40"/>
  <c r="C214" i="40"/>
  <c r="C213" i="40"/>
  <c r="E192" i="40"/>
  <c r="E154" i="40"/>
  <c r="E152" i="40"/>
  <c r="H146" i="40"/>
  <c r="E211" i="40"/>
  <c r="F203" i="40"/>
  <c r="J163" i="40"/>
  <c r="E209" i="40"/>
  <c r="I186" i="40"/>
  <c r="H165" i="40"/>
  <c r="I148" i="40"/>
  <c r="F205" i="40"/>
  <c r="F207" i="40" s="1"/>
  <c r="F208" i="40" s="1"/>
  <c r="G188" i="40"/>
  <c r="F192" i="40"/>
  <c r="D214" i="40"/>
  <c r="D213" i="40"/>
  <c r="E169" i="40"/>
  <c r="F164" i="40"/>
  <c r="F167" i="40" s="1"/>
  <c r="F168" i="40" s="1"/>
  <c r="F150" i="40"/>
  <c r="F151" i="40" s="1"/>
  <c r="G147" i="40"/>
  <c r="G204" i="40"/>
  <c r="F153" i="40"/>
  <c r="G145" i="40"/>
  <c r="G190" i="40"/>
  <c r="G191" i="40" s="1"/>
  <c r="H187" i="40"/>
  <c r="I162" i="40"/>
  <c r="F95" i="40"/>
  <c r="F97" i="40"/>
  <c r="L128" i="40"/>
  <c r="L130" i="40"/>
  <c r="J95" i="40"/>
  <c r="J97" i="40"/>
  <c r="N95" i="40"/>
  <c r="N97" i="40"/>
  <c r="P95" i="40"/>
  <c r="P97" i="40"/>
  <c r="L97" i="40"/>
  <c r="L95" i="40"/>
  <c r="H130" i="40"/>
  <c r="H128" i="40"/>
  <c r="C83" i="39"/>
  <c r="C84" i="39" s="1"/>
  <c r="C87" i="39" s="1"/>
  <c r="C88" i="39" s="1"/>
  <c r="C89" i="39" s="1"/>
  <c r="D82" i="39"/>
  <c r="O345" i="38"/>
  <c r="O346" i="38" s="1"/>
  <c r="O352" i="38" s="1"/>
  <c r="P334" i="38"/>
  <c r="O350" i="38"/>
  <c r="O340" i="38"/>
  <c r="P335" i="38"/>
  <c r="N345" i="38"/>
  <c r="N346" i="38" s="1"/>
  <c r="N352" i="38" s="1"/>
  <c r="O341" i="38"/>
  <c r="O351" i="38" s="1"/>
  <c r="P336" i="38"/>
  <c r="P384" i="38"/>
  <c r="P386" i="38" s="1"/>
  <c r="P388" i="38" s="1"/>
  <c r="O283" i="38"/>
  <c r="O284" i="38" s="1"/>
  <c r="O269" i="38"/>
  <c r="P260" i="38"/>
  <c r="P261" i="38" s="1"/>
  <c r="P262" i="38" s="1"/>
  <c r="P267" i="38" s="1"/>
  <c r="Q258" i="38"/>
  <c r="E223" i="35"/>
  <c r="E225" i="35" s="1"/>
  <c r="E218" i="35"/>
  <c r="E220" i="35" s="1"/>
  <c r="E208" i="35"/>
  <c r="E214" i="35" s="1"/>
  <c r="E215" i="35" s="1"/>
  <c r="C170" i="35"/>
  <c r="C172" i="35" s="1"/>
  <c r="C165" i="35"/>
  <c r="C167" i="35" s="1"/>
  <c r="C155" i="35"/>
  <c r="C161" i="35" s="1"/>
  <c r="C162" i="35" s="1"/>
  <c r="C106" i="35"/>
  <c r="C108" i="35" s="1"/>
  <c r="C112" i="35"/>
  <c r="C114" i="35" s="1"/>
  <c r="C52" i="35"/>
  <c r="C37" i="35"/>
  <c r="C46" i="35" s="1"/>
  <c r="F106" i="32"/>
  <c r="C112" i="32"/>
  <c r="B114" i="32" s="1"/>
  <c r="C66" i="32"/>
  <c r="D62" i="32" s="1"/>
  <c r="D42" i="32"/>
  <c r="C47" i="32"/>
  <c r="G17" i="34"/>
  <c r="H16" i="34"/>
  <c r="C19" i="33"/>
  <c r="D20" i="33"/>
  <c r="E13" i="33"/>
  <c r="D18" i="33"/>
  <c r="D15" i="33"/>
  <c r="D16" i="33" s="1"/>
  <c r="E10" i="33"/>
  <c r="D11" i="33"/>
  <c r="D22" i="32"/>
  <c r="C21" i="32"/>
  <c r="C19" i="32"/>
  <c r="AB336" i="47" l="1"/>
  <c r="AA337" i="47"/>
  <c r="AA339" i="47" s="1"/>
  <c r="D117" i="41"/>
  <c r="H116" i="41"/>
  <c r="I116" i="41" s="1"/>
  <c r="L116" i="41" s="1"/>
  <c r="F116" i="41"/>
  <c r="N115" i="41"/>
  <c r="M115" i="41"/>
  <c r="O115" i="41"/>
  <c r="Q115" i="41" s="1"/>
  <c r="R10" i="41"/>
  <c r="S7" i="41"/>
  <c r="R11" i="41"/>
  <c r="R12" i="41" s="1"/>
  <c r="Q13" i="41"/>
  <c r="Q14" i="41"/>
  <c r="G205" i="40"/>
  <c r="G207" i="40" s="1"/>
  <c r="G208" i="40" s="1"/>
  <c r="G192" i="40"/>
  <c r="H188" i="40"/>
  <c r="H190" i="40" s="1"/>
  <c r="H191" i="40" s="1"/>
  <c r="F210" i="40"/>
  <c r="G202" i="40"/>
  <c r="G150" i="40"/>
  <c r="G151" i="40" s="1"/>
  <c r="G153" i="40" s="1"/>
  <c r="H147" i="40"/>
  <c r="G164" i="40"/>
  <c r="G167" i="40" s="1"/>
  <c r="G168" i="40" s="1"/>
  <c r="F209" i="40"/>
  <c r="F152" i="40"/>
  <c r="F154" i="40"/>
  <c r="J186" i="40"/>
  <c r="F211" i="40"/>
  <c r="G203" i="40"/>
  <c r="E157" i="40"/>
  <c r="E156" i="40"/>
  <c r="G194" i="40"/>
  <c r="G193" i="40"/>
  <c r="E174" i="40"/>
  <c r="E173" i="40"/>
  <c r="E197" i="40"/>
  <c r="E196" i="40"/>
  <c r="F216" i="40"/>
  <c r="J162" i="40"/>
  <c r="H145" i="40"/>
  <c r="K163" i="40"/>
  <c r="I146" i="40"/>
  <c r="I187" i="40"/>
  <c r="H204" i="40"/>
  <c r="F171" i="40"/>
  <c r="F170" i="40"/>
  <c r="F169" i="40"/>
  <c r="F197" i="40"/>
  <c r="F196" i="40"/>
  <c r="J148" i="40"/>
  <c r="I165" i="40"/>
  <c r="E213" i="40"/>
  <c r="E214" i="40"/>
  <c r="E176" i="40"/>
  <c r="J185" i="40"/>
  <c r="E216" i="40"/>
  <c r="P345" i="38"/>
  <c r="P346" i="38" s="1"/>
  <c r="P352" i="38" s="1"/>
  <c r="Q334" i="38"/>
  <c r="P350" i="38"/>
  <c r="P340" i="38"/>
  <c r="Q335" i="38"/>
  <c r="Q336" i="38"/>
  <c r="P341" i="38"/>
  <c r="P351" i="38" s="1"/>
  <c r="Q384" i="38"/>
  <c r="Q386" i="38" s="1"/>
  <c r="Q388" i="38" s="1"/>
  <c r="Q260" i="38"/>
  <c r="Q261" i="38" s="1"/>
  <c r="Q262" i="38" s="1"/>
  <c r="Q267" i="38" s="1"/>
  <c r="R258" i="38"/>
  <c r="P269" i="38"/>
  <c r="P283" i="38"/>
  <c r="P284" i="38" s="1"/>
  <c r="C53" i="35"/>
  <c r="C57" i="35" s="1"/>
  <c r="C63" i="35"/>
  <c r="C65" i="35" s="1"/>
  <c r="C67" i="32"/>
  <c r="G18" i="34"/>
  <c r="H18" i="34" s="1"/>
  <c r="H17" i="34"/>
  <c r="E18" i="33"/>
  <c r="E15" i="33"/>
  <c r="E16" i="33" s="1"/>
  <c r="F13" i="33"/>
  <c r="F10" i="33"/>
  <c r="E11" i="33"/>
  <c r="E20" i="33"/>
  <c r="D19" i="33"/>
  <c r="AC336" i="47" l="1"/>
  <c r="AB337" i="47"/>
  <c r="AB339" i="47" s="1"/>
  <c r="O116" i="41"/>
  <c r="Q116" i="41" s="1"/>
  <c r="N116" i="41"/>
  <c r="M116" i="41"/>
  <c r="D118" i="41"/>
  <c r="H117" i="41"/>
  <c r="I117" i="41" s="1"/>
  <c r="L117" i="41" s="1"/>
  <c r="F117" i="41"/>
  <c r="R14" i="41"/>
  <c r="R13" i="41"/>
  <c r="S11" i="41"/>
  <c r="S12" i="41" s="1"/>
  <c r="T7" i="41"/>
  <c r="S10" i="41"/>
  <c r="I145" i="40"/>
  <c r="K186" i="40"/>
  <c r="G210" i="40"/>
  <c r="H202" i="40"/>
  <c r="F174" i="40"/>
  <c r="F173" i="40"/>
  <c r="I204" i="40"/>
  <c r="J146" i="40"/>
  <c r="G171" i="40"/>
  <c r="G170" i="40"/>
  <c r="G169" i="40"/>
  <c r="F214" i="40"/>
  <c r="F213" i="40"/>
  <c r="G209" i="40"/>
  <c r="J165" i="40"/>
  <c r="K148" i="40"/>
  <c r="H194" i="40"/>
  <c r="H193" i="40"/>
  <c r="L163" i="40"/>
  <c r="G211" i="40"/>
  <c r="G216" i="40" s="1"/>
  <c r="H203" i="40"/>
  <c r="F176" i="40"/>
  <c r="H164" i="40"/>
  <c r="H167" i="40" s="1"/>
  <c r="H168" i="40" s="1"/>
  <c r="I147" i="40"/>
  <c r="H150" i="40"/>
  <c r="H151" i="40" s="1"/>
  <c r="H205" i="40"/>
  <c r="H207" i="40" s="1"/>
  <c r="H208" i="40" s="1"/>
  <c r="I188" i="40"/>
  <c r="H192" i="40"/>
  <c r="K185" i="40"/>
  <c r="J187" i="40"/>
  <c r="I190" i="40"/>
  <c r="I191" i="40" s="1"/>
  <c r="K162" i="40"/>
  <c r="F157" i="40"/>
  <c r="F156" i="40"/>
  <c r="G152" i="40"/>
  <c r="G154" i="40"/>
  <c r="G197" i="40"/>
  <c r="G196" i="40"/>
  <c r="R336" i="38"/>
  <c r="Q345" i="38"/>
  <c r="Q346" i="38" s="1"/>
  <c r="Q352" i="38" s="1"/>
  <c r="R334" i="38"/>
  <c r="Q350" i="38"/>
  <c r="Q340" i="38"/>
  <c r="Q341" i="38" s="1"/>
  <c r="Q351" i="38" s="1"/>
  <c r="R335" i="38"/>
  <c r="R384" i="38"/>
  <c r="R386" i="38" s="1"/>
  <c r="R388" i="38" s="1"/>
  <c r="S258" i="38"/>
  <c r="R260" i="38"/>
  <c r="R261" i="38" s="1"/>
  <c r="R262" i="38" s="1"/>
  <c r="R267" i="38" s="1"/>
  <c r="Q269" i="38"/>
  <c r="Q283" i="38"/>
  <c r="Q284" i="38" s="1"/>
  <c r="F15" i="33"/>
  <c r="F16" i="33" s="1"/>
  <c r="G13" i="33"/>
  <c r="F18" i="33"/>
  <c r="F20" i="33" s="1"/>
  <c r="E19" i="33"/>
  <c r="F11" i="33"/>
  <c r="G10" i="33"/>
  <c r="AD336" i="47" l="1"/>
  <c r="AC337" i="47"/>
  <c r="AC339" i="47" s="1"/>
  <c r="N117" i="41"/>
  <c r="O117" i="41"/>
  <c r="Q117" i="41" s="1"/>
  <c r="M117" i="41"/>
  <c r="F118" i="41"/>
  <c r="D119" i="41"/>
  <c r="H118" i="41"/>
  <c r="I118" i="41" s="1"/>
  <c r="U7" i="41"/>
  <c r="T10" i="41"/>
  <c r="T11" i="41"/>
  <c r="T12" i="41" s="1"/>
  <c r="S13" i="41"/>
  <c r="S14" i="41"/>
  <c r="G176" i="40"/>
  <c r="I193" i="40"/>
  <c r="I194" i="40"/>
  <c r="L185" i="40"/>
  <c r="H152" i="40"/>
  <c r="H154" i="40"/>
  <c r="H211" i="40"/>
  <c r="H216" i="40" s="1"/>
  <c r="I203" i="40"/>
  <c r="G174" i="40"/>
  <c r="G173" i="40"/>
  <c r="L186" i="40"/>
  <c r="J204" i="40"/>
  <c r="I164" i="40"/>
  <c r="I167" i="40" s="1"/>
  <c r="I168" i="40" s="1"/>
  <c r="I150" i="40"/>
  <c r="I151" i="40" s="1"/>
  <c r="I153" i="40" s="1"/>
  <c r="J147" i="40"/>
  <c r="K187" i="40"/>
  <c r="I205" i="40"/>
  <c r="I207" i="40" s="1"/>
  <c r="I208" i="40" s="1"/>
  <c r="I192" i="40"/>
  <c r="J188" i="40"/>
  <c r="H171" i="40"/>
  <c r="H170" i="40"/>
  <c r="H169" i="40"/>
  <c r="H210" i="40"/>
  <c r="I202" i="40"/>
  <c r="J145" i="40"/>
  <c r="H196" i="40"/>
  <c r="H197" i="40"/>
  <c r="G214" i="40"/>
  <c r="G213" i="40"/>
  <c r="G157" i="40"/>
  <c r="G156" i="40"/>
  <c r="L162" i="40"/>
  <c r="H209" i="40"/>
  <c r="M163" i="40"/>
  <c r="K165" i="40"/>
  <c r="L148" i="40"/>
  <c r="K146" i="40"/>
  <c r="H153" i="40"/>
  <c r="R350" i="38"/>
  <c r="R340" i="38"/>
  <c r="R341" i="38" s="1"/>
  <c r="R351" i="38" s="1"/>
  <c r="S335" i="38"/>
  <c r="S336" i="38"/>
  <c r="R345" i="38"/>
  <c r="R346" i="38" s="1"/>
  <c r="R352" i="38" s="1"/>
  <c r="S334" i="38"/>
  <c r="S384" i="38"/>
  <c r="S386" i="38" s="1"/>
  <c r="S388" i="38" s="1"/>
  <c r="R283" i="38"/>
  <c r="R284" i="38" s="1"/>
  <c r="R269" i="38"/>
  <c r="T258" i="38"/>
  <c r="S260" i="38"/>
  <c r="S261" i="38" s="1"/>
  <c r="S262" i="38" s="1"/>
  <c r="S267" i="38" s="1"/>
  <c r="G11" i="33"/>
  <c r="H10" i="33"/>
  <c r="F19" i="33"/>
  <c r="H13" i="33"/>
  <c r="G18" i="33"/>
  <c r="G15" i="33"/>
  <c r="G16" i="33" s="1"/>
  <c r="AE336" i="47" l="1"/>
  <c r="AD337" i="47"/>
  <c r="AD339" i="47" s="1"/>
  <c r="M118" i="41"/>
  <c r="N118" i="41"/>
  <c r="O118" i="41"/>
  <c r="Q118" i="41" s="1"/>
  <c r="H119" i="41"/>
  <c r="I119" i="41" s="1"/>
  <c r="F119" i="41"/>
  <c r="D120" i="41"/>
  <c r="L119" i="41"/>
  <c r="L118" i="41"/>
  <c r="T14" i="41"/>
  <c r="T13" i="41"/>
  <c r="U11" i="41"/>
  <c r="U12" i="41" s="1"/>
  <c r="U10" i="41"/>
  <c r="L165" i="40"/>
  <c r="M148" i="40"/>
  <c r="H214" i="40"/>
  <c r="H213" i="40"/>
  <c r="J205" i="40"/>
  <c r="K188" i="40"/>
  <c r="J190" i="40"/>
  <c r="J191" i="40" s="1"/>
  <c r="K204" i="40"/>
  <c r="I171" i="40"/>
  <c r="I170" i="40"/>
  <c r="I169" i="40"/>
  <c r="I211" i="40"/>
  <c r="J203" i="40"/>
  <c r="M185" i="40"/>
  <c r="L146" i="40"/>
  <c r="K145" i="40"/>
  <c r="H174" i="40"/>
  <c r="H173" i="40"/>
  <c r="I197" i="40"/>
  <c r="I196" i="40"/>
  <c r="J164" i="40"/>
  <c r="J167" i="40" s="1"/>
  <c r="J168" i="40" s="1"/>
  <c r="J150" i="40"/>
  <c r="J151" i="40" s="1"/>
  <c r="J153" i="40" s="1"/>
  <c r="K147" i="40"/>
  <c r="H176" i="40"/>
  <c r="I210" i="40"/>
  <c r="J202" i="40"/>
  <c r="K190" i="40"/>
  <c r="K191" i="40" s="1"/>
  <c r="L187" i="40"/>
  <c r="N163" i="40"/>
  <c r="M162" i="40"/>
  <c r="I209" i="40"/>
  <c r="I152" i="40"/>
  <c r="I154" i="40"/>
  <c r="I176" i="40" s="1"/>
  <c r="M186" i="40"/>
  <c r="H157" i="40"/>
  <c r="H156" i="40"/>
  <c r="I216" i="40"/>
  <c r="T334" i="38"/>
  <c r="S350" i="38"/>
  <c r="T335" i="38"/>
  <c r="S340" i="38"/>
  <c r="S345" i="38" s="1"/>
  <c r="S346" i="38" s="1"/>
  <c r="S352" i="38" s="1"/>
  <c r="S341" i="38"/>
  <c r="S351" i="38" s="1"/>
  <c r="T336" i="38"/>
  <c r="T384" i="38"/>
  <c r="T386" i="38" s="1"/>
  <c r="T388" i="38" s="1"/>
  <c r="S283" i="38"/>
  <c r="S284" i="38" s="1"/>
  <c r="S269" i="38"/>
  <c r="T260" i="38"/>
  <c r="T261" i="38" s="1"/>
  <c r="T262" i="38" s="1"/>
  <c r="T267" i="38" s="1"/>
  <c r="U258" i="38"/>
  <c r="G19" i="33"/>
  <c r="H20" i="33"/>
  <c r="I13" i="33"/>
  <c r="H18" i="33"/>
  <c r="H15" i="33"/>
  <c r="H16" i="33" s="1"/>
  <c r="G20" i="33"/>
  <c r="I10" i="33"/>
  <c r="H11" i="33"/>
  <c r="AF336" i="47" l="1"/>
  <c r="AE337" i="47"/>
  <c r="AE339" i="47" s="1"/>
  <c r="N119" i="41"/>
  <c r="O119" i="41"/>
  <c r="Q119" i="41" s="1"/>
  <c r="M119" i="41"/>
  <c r="D121" i="41"/>
  <c r="H120" i="41"/>
  <c r="I120" i="41" s="1"/>
  <c r="F120" i="41"/>
  <c r="L120" i="41"/>
  <c r="U13" i="41"/>
  <c r="U14" i="41"/>
  <c r="K193" i="40"/>
  <c r="K194" i="40"/>
  <c r="K202" i="40"/>
  <c r="N185" i="40"/>
  <c r="J193" i="40"/>
  <c r="J194" i="40"/>
  <c r="O163" i="40"/>
  <c r="J171" i="40"/>
  <c r="J170" i="40"/>
  <c r="J169" i="40"/>
  <c r="K203" i="40"/>
  <c r="J192" i="40"/>
  <c r="K164" i="40"/>
  <c r="K167" i="40" s="1"/>
  <c r="K168" i="40" s="1"/>
  <c r="L147" i="40"/>
  <c r="K150" i="40"/>
  <c r="K151" i="40" s="1"/>
  <c r="K153" i="40" s="1"/>
  <c r="I174" i="40"/>
  <c r="I173" i="40"/>
  <c r="L204" i="40"/>
  <c r="N148" i="40"/>
  <c r="M165" i="40"/>
  <c r="I157" i="40"/>
  <c r="I156" i="40"/>
  <c r="J152" i="40"/>
  <c r="J154" i="40"/>
  <c r="J176" i="40" s="1"/>
  <c r="I214" i="40"/>
  <c r="I213" i="40"/>
  <c r="N186" i="40"/>
  <c r="N162" i="40"/>
  <c r="M187" i="40"/>
  <c r="L145" i="40"/>
  <c r="M146" i="40"/>
  <c r="J207" i="40"/>
  <c r="J208" i="40" s="1"/>
  <c r="J209" i="40" s="1"/>
  <c r="K205" i="40"/>
  <c r="K192" i="40"/>
  <c r="L188" i="40"/>
  <c r="U384" i="38"/>
  <c r="U386" i="38" s="1"/>
  <c r="U388" i="38" s="1"/>
  <c r="T345" i="38"/>
  <c r="T346" i="38" s="1"/>
  <c r="T352" i="38" s="1"/>
  <c r="U334" i="38"/>
  <c r="T350" i="38"/>
  <c r="T340" i="38"/>
  <c r="T341" i="38" s="1"/>
  <c r="T351" i="38" s="1"/>
  <c r="U335" i="38"/>
  <c r="U336" i="38"/>
  <c r="U260" i="38"/>
  <c r="U261" i="38" s="1"/>
  <c r="U262" i="38" s="1"/>
  <c r="U267" i="38" s="1"/>
  <c r="V258" i="38"/>
  <c r="T269" i="38"/>
  <c r="T283" i="38"/>
  <c r="T284" i="38" s="1"/>
  <c r="V384" i="38"/>
  <c r="I18" i="33"/>
  <c r="I20" i="33" s="1"/>
  <c r="I15" i="33"/>
  <c r="I16" i="33" s="1"/>
  <c r="J13" i="33"/>
  <c r="H19" i="33"/>
  <c r="J10" i="33"/>
  <c r="I11" i="33"/>
  <c r="AG336" i="47" l="1"/>
  <c r="AF337" i="47"/>
  <c r="AF339" i="47" s="1"/>
  <c r="D122" i="41"/>
  <c r="H121" i="41"/>
  <c r="I121" i="41" s="1"/>
  <c r="F121" i="41"/>
  <c r="O120" i="41"/>
  <c r="Q120" i="41" s="1"/>
  <c r="M120" i="41"/>
  <c r="N120" i="41"/>
  <c r="J214" i="40"/>
  <c r="J213" i="40"/>
  <c r="J157" i="40"/>
  <c r="J156" i="40"/>
  <c r="K171" i="40"/>
  <c r="K170" i="40"/>
  <c r="K169" i="40"/>
  <c r="N165" i="40"/>
  <c r="O148" i="40"/>
  <c r="J197" i="40"/>
  <c r="J196" i="40"/>
  <c r="L202" i="40"/>
  <c r="N146" i="40"/>
  <c r="O186" i="40"/>
  <c r="K207" i="40"/>
  <c r="K208" i="40" s="1"/>
  <c r="K209" i="40" s="1"/>
  <c r="K152" i="40"/>
  <c r="K154" i="40"/>
  <c r="L203" i="40"/>
  <c r="J210" i="40"/>
  <c r="M145" i="40"/>
  <c r="J174" i="40"/>
  <c r="J173" i="40"/>
  <c r="O162" i="40"/>
  <c r="L205" i="40"/>
  <c r="M188" i="40"/>
  <c r="L190" i="40"/>
  <c r="L191" i="40" s="1"/>
  <c r="K197" i="40"/>
  <c r="K196" i="40"/>
  <c r="N187" i="40"/>
  <c r="M190" i="40"/>
  <c r="M191" i="40" s="1"/>
  <c r="M204" i="40"/>
  <c r="L164" i="40"/>
  <c r="L167" i="40" s="1"/>
  <c r="L168" i="40" s="1"/>
  <c r="M147" i="40"/>
  <c r="L150" i="40"/>
  <c r="L151" i="40" s="1"/>
  <c r="J211" i="40"/>
  <c r="J216" i="40" s="1"/>
  <c r="P163" i="40"/>
  <c r="O185" i="40"/>
  <c r="V336" i="38"/>
  <c r="V334" i="38"/>
  <c r="U350" i="38"/>
  <c r="U340" i="38"/>
  <c r="U345" i="38" s="1"/>
  <c r="U346" i="38" s="1"/>
  <c r="U352" i="38" s="1"/>
  <c r="V335" i="38"/>
  <c r="W258" i="38"/>
  <c r="W260" i="38" s="1"/>
  <c r="W261" i="38" s="1"/>
  <c r="W262" i="38" s="1"/>
  <c r="W267" i="38" s="1"/>
  <c r="V260" i="38"/>
  <c r="V261" i="38" s="1"/>
  <c r="V262" i="38" s="1"/>
  <c r="V267" i="38" s="1"/>
  <c r="U269" i="38"/>
  <c r="U283" i="38"/>
  <c r="U284" i="38" s="1"/>
  <c r="W384" i="38"/>
  <c r="V386" i="38"/>
  <c r="V388" i="38" s="1"/>
  <c r="J11" i="33"/>
  <c r="K10" i="33"/>
  <c r="J15" i="33"/>
  <c r="J16" i="33" s="1"/>
  <c r="J18" i="33"/>
  <c r="K13" i="33"/>
  <c r="I19" i="33"/>
  <c r="J20" i="33"/>
  <c r="AH336" i="47" l="1"/>
  <c r="AG337" i="47"/>
  <c r="AG339" i="47" s="1"/>
  <c r="O121" i="41"/>
  <c r="Q121" i="41" s="1"/>
  <c r="N121" i="41"/>
  <c r="M121" i="41"/>
  <c r="F122" i="41"/>
  <c r="D123" i="41"/>
  <c r="H122" i="41"/>
  <c r="I122" i="41" s="1"/>
  <c r="L122" i="41"/>
  <c r="L121" i="41"/>
  <c r="K214" i="40"/>
  <c r="K213" i="40"/>
  <c r="O146" i="40"/>
  <c r="Q163" i="40"/>
  <c r="L194" i="40"/>
  <c r="L193" i="40"/>
  <c r="M203" i="40"/>
  <c r="P185" i="40"/>
  <c r="N204" i="40"/>
  <c r="O187" i="40"/>
  <c r="L192" i="40"/>
  <c r="P162" i="40"/>
  <c r="N145" i="40"/>
  <c r="K211" i="40"/>
  <c r="K216" i="40" s="1"/>
  <c r="M202" i="40"/>
  <c r="O165" i="40"/>
  <c r="P148" i="40"/>
  <c r="K174" i="40"/>
  <c r="K173" i="40"/>
  <c r="N147" i="40"/>
  <c r="M150" i="40"/>
  <c r="M151" i="40" s="1"/>
  <c r="M153" i="40" s="1"/>
  <c r="M164" i="40"/>
  <c r="M167" i="40" s="1"/>
  <c r="M168" i="40" s="1"/>
  <c r="K156" i="40"/>
  <c r="K157" i="40"/>
  <c r="L171" i="40"/>
  <c r="L170" i="40"/>
  <c r="L169" i="40"/>
  <c r="M194" i="40"/>
  <c r="M193" i="40"/>
  <c r="L152" i="40"/>
  <c r="L154" i="40"/>
  <c r="L207" i="40"/>
  <c r="L208" i="40" s="1"/>
  <c r="L210" i="40" s="1"/>
  <c r="M205" i="40"/>
  <c r="M207" i="40" s="1"/>
  <c r="M208" i="40" s="1"/>
  <c r="M192" i="40"/>
  <c r="N188" i="40"/>
  <c r="N190" i="40" s="1"/>
  <c r="N191" i="40" s="1"/>
  <c r="L153" i="40"/>
  <c r="K176" i="40"/>
  <c r="P186" i="40"/>
  <c r="K210" i="40"/>
  <c r="W336" i="38"/>
  <c r="U341" i="38"/>
  <c r="U351" i="38" s="1"/>
  <c r="W334" i="38"/>
  <c r="V350" i="38"/>
  <c r="V340" i="38"/>
  <c r="V341" i="38" s="1"/>
  <c r="V351" i="38" s="1"/>
  <c r="W335" i="38"/>
  <c r="V283" i="38"/>
  <c r="V284" i="38" s="1"/>
  <c r="V269" i="38"/>
  <c r="W283" i="38"/>
  <c r="W284" i="38" s="1"/>
  <c r="W269" i="38"/>
  <c r="W386" i="38"/>
  <c r="W388" i="38" s="1"/>
  <c r="X384" i="38"/>
  <c r="L13" i="33"/>
  <c r="K18" i="33"/>
  <c r="K15" i="33"/>
  <c r="K16" i="33" s="1"/>
  <c r="J19" i="33"/>
  <c r="K11" i="33"/>
  <c r="L10" i="33"/>
  <c r="AI336" i="47" l="1"/>
  <c r="AH337" i="47"/>
  <c r="AH339" i="47" s="1"/>
  <c r="M122" i="41"/>
  <c r="O122" i="41"/>
  <c r="Q122" i="41" s="1"/>
  <c r="N122" i="41"/>
  <c r="H123" i="41"/>
  <c r="I123" i="41" s="1"/>
  <c r="D124" i="41"/>
  <c r="F123" i="41"/>
  <c r="L211" i="40"/>
  <c r="L209" i="40"/>
  <c r="N193" i="40"/>
  <c r="N194" i="40"/>
  <c r="L157" i="40"/>
  <c r="L156" i="40"/>
  <c r="L214" i="40"/>
  <c r="L213" i="40"/>
  <c r="M171" i="40"/>
  <c r="M170" i="40"/>
  <c r="M169" i="40"/>
  <c r="M210" i="40"/>
  <c r="N202" i="40"/>
  <c r="P187" i="40"/>
  <c r="M152" i="40"/>
  <c r="M154" i="40"/>
  <c r="M176" i="40" s="1"/>
  <c r="P165" i="40"/>
  <c r="Q148" i="40"/>
  <c r="L216" i="40"/>
  <c r="P146" i="40"/>
  <c r="M197" i="40"/>
  <c r="M196" i="40"/>
  <c r="O145" i="40"/>
  <c r="L196" i="40"/>
  <c r="L197" i="40"/>
  <c r="M209" i="40"/>
  <c r="Q185" i="40"/>
  <c r="Q186" i="40"/>
  <c r="N205" i="40"/>
  <c r="O188" i="40"/>
  <c r="O190" i="40" s="1"/>
  <c r="O191" i="40" s="1"/>
  <c r="N192" i="40"/>
  <c r="L176" i="40"/>
  <c r="L174" i="40"/>
  <c r="L173" i="40"/>
  <c r="N164" i="40"/>
  <c r="N167" i="40" s="1"/>
  <c r="N168" i="40" s="1"/>
  <c r="N150" i="40"/>
  <c r="N151" i="40" s="1"/>
  <c r="O147" i="40"/>
  <c r="Q162" i="40"/>
  <c r="N207" i="40"/>
  <c r="N208" i="40" s="1"/>
  <c r="O204" i="40"/>
  <c r="M211" i="40"/>
  <c r="M216" i="40" s="1"/>
  <c r="N203" i="40"/>
  <c r="R163" i="40"/>
  <c r="W350" i="38"/>
  <c r="W340" i="38"/>
  <c r="W345" i="38" s="1"/>
  <c r="W346" i="38" s="1"/>
  <c r="W352" i="38" s="1"/>
  <c r="V345" i="38"/>
  <c r="V346" i="38" s="1"/>
  <c r="V352" i="38" s="1"/>
  <c r="X386" i="38"/>
  <c r="X388" i="38" s="1"/>
  <c r="Y384" i="38"/>
  <c r="Y386" i="38" s="1"/>
  <c r="Y388" i="38" s="1"/>
  <c r="M10" i="33"/>
  <c r="L11" i="33"/>
  <c r="K19" i="33"/>
  <c r="K20" i="33"/>
  <c r="M13" i="33"/>
  <c r="L18" i="33"/>
  <c r="L20" i="33" s="1"/>
  <c r="L15" i="33"/>
  <c r="L16" i="33" s="1"/>
  <c r="AJ336" i="47" l="1"/>
  <c r="AI337" i="47"/>
  <c r="AI339" i="47" s="1"/>
  <c r="N123" i="41"/>
  <c r="M123" i="41"/>
  <c r="O123" i="41"/>
  <c r="Q123" i="41" s="1"/>
  <c r="D125" i="41"/>
  <c r="F124" i="41"/>
  <c r="H124" i="41"/>
  <c r="I124" i="41" s="1"/>
  <c r="L123" i="41"/>
  <c r="O194" i="40"/>
  <c r="O193" i="40"/>
  <c r="R162" i="40"/>
  <c r="N171" i="40"/>
  <c r="N170" i="40"/>
  <c r="N169" i="40"/>
  <c r="N197" i="40"/>
  <c r="N196" i="40"/>
  <c r="R186" i="40"/>
  <c r="N152" i="40"/>
  <c r="N154" i="40"/>
  <c r="N176" i="40" s="1"/>
  <c r="M214" i="40"/>
  <c r="M213" i="40"/>
  <c r="M174" i="40"/>
  <c r="M173" i="40"/>
  <c r="P204" i="40"/>
  <c r="O192" i="40"/>
  <c r="O205" i="40"/>
  <c r="P188" i="40"/>
  <c r="M156" i="40"/>
  <c r="M157" i="40"/>
  <c r="N210" i="40"/>
  <c r="O202" i="40"/>
  <c r="N211" i="40"/>
  <c r="O203" i="40"/>
  <c r="N153" i="40"/>
  <c r="P190" i="40"/>
  <c r="P191" i="40" s="1"/>
  <c r="Q187" i="40"/>
  <c r="S163" i="40"/>
  <c r="P147" i="40"/>
  <c r="O164" i="40"/>
  <c r="O167" i="40" s="1"/>
  <c r="O168" i="40" s="1"/>
  <c r="O150" i="40"/>
  <c r="O151" i="40" s="1"/>
  <c r="O153" i="40" s="1"/>
  <c r="N209" i="40"/>
  <c r="R185" i="40"/>
  <c r="P145" i="40"/>
  <c r="Q146" i="40"/>
  <c r="R148" i="40"/>
  <c r="Q165" i="40"/>
  <c r="N216" i="40"/>
  <c r="W341" i="38"/>
  <c r="W351" i="38" s="1"/>
  <c r="L19" i="33"/>
  <c r="M18" i="33"/>
  <c r="M15" i="33"/>
  <c r="M16" i="33" s="1"/>
  <c r="N13" i="33"/>
  <c r="N10" i="33"/>
  <c r="M11" i="33"/>
  <c r="AK336" i="47" l="1"/>
  <c r="AJ337" i="47"/>
  <c r="AJ339" i="47" s="1"/>
  <c r="D126" i="41"/>
  <c r="F125" i="41"/>
  <c r="H125" i="41"/>
  <c r="I125" i="41" s="1"/>
  <c r="O124" i="41"/>
  <c r="Q124" i="41" s="1"/>
  <c r="N124" i="41"/>
  <c r="M124" i="41"/>
  <c r="L124" i="41"/>
  <c r="Q145" i="40"/>
  <c r="T163" i="40"/>
  <c r="R165" i="40"/>
  <c r="S148" i="40"/>
  <c r="O171" i="40"/>
  <c r="O170" i="40"/>
  <c r="O169" i="40"/>
  <c r="R187" i="40"/>
  <c r="O207" i="40"/>
  <c r="O208" i="40" s="1"/>
  <c r="O210" i="40" s="1"/>
  <c r="N157" i="40"/>
  <c r="N156" i="40"/>
  <c r="N214" i="40"/>
  <c r="N213" i="40"/>
  <c r="O152" i="40"/>
  <c r="O154" i="40"/>
  <c r="P203" i="40"/>
  <c r="O197" i="40"/>
  <c r="O196" i="40"/>
  <c r="S185" i="40"/>
  <c r="R146" i="40"/>
  <c r="P164" i="40"/>
  <c r="P167" i="40" s="1"/>
  <c r="P168" i="40" s="1"/>
  <c r="Q147" i="40"/>
  <c r="P150" i="40"/>
  <c r="P151" i="40" s="1"/>
  <c r="P193" i="40"/>
  <c r="P194" i="40"/>
  <c r="P202" i="40"/>
  <c r="P205" i="40"/>
  <c r="P207" i="40" s="1"/>
  <c r="P208" i="40" s="1"/>
  <c r="Q188" i="40"/>
  <c r="Q190" i="40" s="1"/>
  <c r="Q191" i="40" s="1"/>
  <c r="P192" i="40"/>
  <c r="Q204" i="40"/>
  <c r="S186" i="40"/>
  <c r="N174" i="40"/>
  <c r="N173" i="40"/>
  <c r="S162" i="40"/>
  <c r="M19" i="33"/>
  <c r="N11" i="33"/>
  <c r="O10" i="33"/>
  <c r="N15" i="33"/>
  <c r="N16" i="33" s="1"/>
  <c r="O13" i="33"/>
  <c r="N18" i="33"/>
  <c r="M20" i="33"/>
  <c r="AL336" i="47" l="1"/>
  <c r="AL337" i="47" s="1"/>
  <c r="AK337" i="47"/>
  <c r="AK339" i="47" s="1"/>
  <c r="O125" i="41"/>
  <c r="Q125" i="41" s="1"/>
  <c r="N125" i="41"/>
  <c r="M125" i="41"/>
  <c r="L125" i="41"/>
  <c r="F126" i="41"/>
  <c r="D127" i="41"/>
  <c r="H126" i="41"/>
  <c r="I126" i="41" s="1"/>
  <c r="O209" i="40"/>
  <c r="O211" i="40"/>
  <c r="O216" i="40" s="1"/>
  <c r="P152" i="40"/>
  <c r="P154" i="40"/>
  <c r="O214" i="40"/>
  <c r="O213" i="40"/>
  <c r="T162" i="40"/>
  <c r="P197" i="40"/>
  <c r="P196" i="40"/>
  <c r="O176" i="40"/>
  <c r="T186" i="40"/>
  <c r="Q205" i="40"/>
  <c r="Q192" i="40"/>
  <c r="R188" i="40"/>
  <c r="P171" i="40"/>
  <c r="P170" i="40"/>
  <c r="P169" i="40"/>
  <c r="O157" i="40"/>
  <c r="O156" i="40"/>
  <c r="O174" i="40"/>
  <c r="O173" i="40"/>
  <c r="S165" i="40"/>
  <c r="T148" i="40"/>
  <c r="U163" i="40"/>
  <c r="P210" i="40"/>
  <c r="Q202" i="40"/>
  <c r="Q193" i="40"/>
  <c r="Q194" i="40"/>
  <c r="P153" i="40"/>
  <c r="Q164" i="40"/>
  <c r="Q167" i="40" s="1"/>
  <c r="Q168" i="40" s="1"/>
  <c r="Q150" i="40"/>
  <c r="Q151" i="40" s="1"/>
  <c r="R147" i="40"/>
  <c r="R190" i="40"/>
  <c r="R191" i="40" s="1"/>
  <c r="S187" i="40"/>
  <c r="Q207" i="40"/>
  <c r="Q208" i="40" s="1"/>
  <c r="R204" i="40"/>
  <c r="P209" i="40"/>
  <c r="S146" i="40"/>
  <c r="T185" i="40"/>
  <c r="P211" i="40"/>
  <c r="P216" i="40" s="1"/>
  <c r="Q203" i="40"/>
  <c r="Q153" i="40"/>
  <c r="R145" i="40"/>
  <c r="O11" i="33"/>
  <c r="P10" i="33"/>
  <c r="N19" i="33"/>
  <c r="P13" i="33"/>
  <c r="O18" i="33"/>
  <c r="O20" i="33" s="1"/>
  <c r="O15" i="33"/>
  <c r="O16" i="33" s="1"/>
  <c r="N20" i="33"/>
  <c r="AL339" i="47" l="1"/>
  <c r="N126" i="41"/>
  <c r="O126" i="41"/>
  <c r="Q126" i="41" s="1"/>
  <c r="M126" i="41"/>
  <c r="F127" i="41"/>
  <c r="H127" i="41"/>
  <c r="I127" i="41" s="1"/>
  <c r="L127" i="41" s="1"/>
  <c r="D128" i="41"/>
  <c r="L126" i="41"/>
  <c r="S145" i="40"/>
  <c r="T187" i="40"/>
  <c r="Q197" i="40"/>
  <c r="Q196" i="40"/>
  <c r="U162" i="40"/>
  <c r="P157" i="40"/>
  <c r="P156" i="40"/>
  <c r="U185" i="40"/>
  <c r="P213" i="40"/>
  <c r="P214" i="40"/>
  <c r="R194" i="40"/>
  <c r="R193" i="40"/>
  <c r="T165" i="40"/>
  <c r="U148" i="40"/>
  <c r="Q209" i="40"/>
  <c r="Q171" i="40"/>
  <c r="Q170" i="40"/>
  <c r="Q169" i="40"/>
  <c r="Q210" i="40"/>
  <c r="R202" i="40"/>
  <c r="S204" i="40"/>
  <c r="R164" i="40"/>
  <c r="R167" i="40" s="1"/>
  <c r="R168" i="40" s="1"/>
  <c r="R150" i="40"/>
  <c r="R151" i="40" s="1"/>
  <c r="S147" i="40"/>
  <c r="Q216" i="40"/>
  <c r="V163" i="40"/>
  <c r="U186" i="40"/>
  <c r="Q211" i="40"/>
  <c r="R203" i="40"/>
  <c r="T146" i="40"/>
  <c r="Q152" i="40"/>
  <c r="Q154" i="40"/>
  <c r="P174" i="40"/>
  <c r="P173" i="40"/>
  <c r="R205" i="40"/>
  <c r="R207" i="40" s="1"/>
  <c r="R208" i="40" s="1"/>
  <c r="S188" i="40"/>
  <c r="S190" i="40" s="1"/>
  <c r="S191" i="40" s="1"/>
  <c r="R192" i="40"/>
  <c r="P176" i="40"/>
  <c r="Q13" i="33"/>
  <c r="P18" i="33"/>
  <c r="P15" i="33"/>
  <c r="P16" i="33" s="1"/>
  <c r="O19" i="33"/>
  <c r="Q10" i="33"/>
  <c r="P11" i="33"/>
  <c r="H128" i="41" l="1"/>
  <c r="I128" i="41" s="1"/>
  <c r="L128" i="41" s="1"/>
  <c r="D129" i="41"/>
  <c r="F128" i="41"/>
  <c r="N127" i="41"/>
  <c r="O127" i="41"/>
  <c r="Q127" i="41" s="1"/>
  <c r="M127" i="41"/>
  <c r="W163" i="40"/>
  <c r="R171" i="40"/>
  <c r="R170" i="40"/>
  <c r="R169" i="40"/>
  <c r="Q214" i="40"/>
  <c r="Q213" i="40"/>
  <c r="V162" i="40"/>
  <c r="U187" i="40"/>
  <c r="U146" i="40"/>
  <c r="V186" i="40"/>
  <c r="Q174" i="40"/>
  <c r="Q173" i="40"/>
  <c r="V185" i="40"/>
  <c r="S194" i="40"/>
  <c r="S193" i="40"/>
  <c r="S205" i="40"/>
  <c r="S192" i="40"/>
  <c r="T188" i="40"/>
  <c r="Q176" i="40"/>
  <c r="R211" i="40"/>
  <c r="R216" i="40" s="1"/>
  <c r="S203" i="40"/>
  <c r="S150" i="40"/>
  <c r="S151" i="40" s="1"/>
  <c r="S153" i="40" s="1"/>
  <c r="S164" i="40"/>
  <c r="S167" i="40" s="1"/>
  <c r="S168" i="40" s="1"/>
  <c r="T147" i="40"/>
  <c r="T204" i="40"/>
  <c r="S207" i="40"/>
  <c r="S208" i="40" s="1"/>
  <c r="U165" i="40"/>
  <c r="V148" i="40"/>
  <c r="T145" i="40"/>
  <c r="R197" i="40"/>
  <c r="R196" i="40"/>
  <c r="R209" i="40"/>
  <c r="Q156" i="40"/>
  <c r="Q157" i="40"/>
  <c r="R152" i="40"/>
  <c r="R154" i="40"/>
  <c r="R176" i="40" s="1"/>
  <c r="R210" i="40"/>
  <c r="S202" i="40"/>
  <c r="R153" i="40"/>
  <c r="P19" i="33"/>
  <c r="R10" i="33"/>
  <c r="Q11" i="33"/>
  <c r="P20" i="33"/>
  <c r="Q18" i="33"/>
  <c r="Q15" i="33"/>
  <c r="Q16" i="33" s="1"/>
  <c r="R13" i="33"/>
  <c r="D130" i="41" l="1"/>
  <c r="H129" i="41"/>
  <c r="I129" i="41" s="1"/>
  <c r="F129" i="41"/>
  <c r="N128" i="41"/>
  <c r="O128" i="41"/>
  <c r="Q128" i="41" s="1"/>
  <c r="M128" i="41"/>
  <c r="T205" i="40"/>
  <c r="U188" i="40"/>
  <c r="V146" i="40"/>
  <c r="R174" i="40"/>
  <c r="R173" i="40"/>
  <c r="R157" i="40"/>
  <c r="R156" i="40"/>
  <c r="T207" i="40"/>
  <c r="T208" i="40" s="1"/>
  <c r="U204" i="40"/>
  <c r="S211" i="40"/>
  <c r="T203" i="40"/>
  <c r="S197" i="40"/>
  <c r="S196" i="40"/>
  <c r="W185" i="40"/>
  <c r="W162" i="40"/>
  <c r="R214" i="40"/>
  <c r="R213" i="40"/>
  <c r="S152" i="40"/>
  <c r="S154" i="40"/>
  <c r="S216" i="40"/>
  <c r="S210" i="40"/>
  <c r="T202" i="40"/>
  <c r="V165" i="40"/>
  <c r="W148" i="40"/>
  <c r="T164" i="40"/>
  <c r="T167" i="40" s="1"/>
  <c r="T168" i="40" s="1"/>
  <c r="U147" i="40"/>
  <c r="T150" i="40"/>
  <c r="T151" i="40" s="1"/>
  <c r="S209" i="40"/>
  <c r="W186" i="40"/>
  <c r="V187" i="40"/>
  <c r="T153" i="40"/>
  <c r="U145" i="40"/>
  <c r="S171" i="40"/>
  <c r="S170" i="40"/>
  <c r="S169" i="40"/>
  <c r="T190" i="40"/>
  <c r="T191" i="40" s="1"/>
  <c r="X163" i="40"/>
  <c r="R11" i="33"/>
  <c r="S10" i="33"/>
  <c r="R15" i="33"/>
  <c r="R16" i="33" s="1"/>
  <c r="R18" i="33"/>
  <c r="S13" i="33"/>
  <c r="Q19" i="33"/>
  <c r="R20" i="33"/>
  <c r="Q20" i="33"/>
  <c r="O129" i="41" l="1"/>
  <c r="Q129" i="41" s="1"/>
  <c r="N129" i="41"/>
  <c r="M129" i="41"/>
  <c r="L129" i="41"/>
  <c r="F130" i="41"/>
  <c r="H130" i="41"/>
  <c r="I130" i="41" s="1"/>
  <c r="D131" i="41"/>
  <c r="X186" i="40"/>
  <c r="S157" i="40"/>
  <c r="S156" i="40"/>
  <c r="Y163" i="40"/>
  <c r="S214" i="40"/>
  <c r="S213" i="40"/>
  <c r="T211" i="40"/>
  <c r="U203" i="40"/>
  <c r="W146" i="40"/>
  <c r="T193" i="40"/>
  <c r="T194" i="40"/>
  <c r="T216" i="40" s="1"/>
  <c r="W187" i="40"/>
  <c r="T152" i="40"/>
  <c r="T154" i="40"/>
  <c r="W165" i="40"/>
  <c r="X148" i="40"/>
  <c r="T171" i="40"/>
  <c r="T170" i="40"/>
  <c r="T169" i="40"/>
  <c r="T210" i="40"/>
  <c r="U202" i="40"/>
  <c r="U205" i="40"/>
  <c r="V188" i="40"/>
  <c r="V190" i="40" s="1"/>
  <c r="V191" i="40" s="1"/>
  <c r="U190" i="40"/>
  <c r="U191" i="40" s="1"/>
  <c r="U192" i="40" s="1"/>
  <c r="X185" i="40"/>
  <c r="T209" i="40"/>
  <c r="S174" i="40"/>
  <c r="S173" i="40"/>
  <c r="V145" i="40"/>
  <c r="U164" i="40"/>
  <c r="U167" i="40" s="1"/>
  <c r="U168" i="40" s="1"/>
  <c r="U150" i="40"/>
  <c r="U151" i="40" s="1"/>
  <c r="U153" i="40" s="1"/>
  <c r="V147" i="40"/>
  <c r="S176" i="40"/>
  <c r="X162" i="40"/>
  <c r="V204" i="40"/>
  <c r="T192" i="40"/>
  <c r="R19" i="33"/>
  <c r="S20" i="33"/>
  <c r="T13" i="33"/>
  <c r="S18" i="33"/>
  <c r="S15" i="33"/>
  <c r="S16" i="33" s="1"/>
  <c r="S11" i="33"/>
  <c r="T10" i="33"/>
  <c r="T11" i="33" s="1"/>
  <c r="F131" i="41" l="1"/>
  <c r="H131" i="41"/>
  <c r="I131" i="41" s="1"/>
  <c r="L131" i="41" s="1"/>
  <c r="D132" i="41"/>
  <c r="N130" i="41"/>
  <c r="O130" i="41"/>
  <c r="Q130" i="41" s="1"/>
  <c r="M130" i="41"/>
  <c r="L130" i="41"/>
  <c r="U197" i="40"/>
  <c r="U196" i="40"/>
  <c r="U171" i="40"/>
  <c r="U170" i="40"/>
  <c r="U169" i="40"/>
  <c r="V164" i="40"/>
  <c r="V167" i="40" s="1"/>
  <c r="V168" i="40" s="1"/>
  <c r="V150" i="40"/>
  <c r="V151" i="40" s="1"/>
  <c r="W147" i="40"/>
  <c r="Y185" i="40"/>
  <c r="T174" i="40"/>
  <c r="T173" i="40"/>
  <c r="X187" i="40"/>
  <c r="X146" i="40"/>
  <c r="T197" i="40"/>
  <c r="T196" i="40"/>
  <c r="Y162" i="40"/>
  <c r="U152" i="40"/>
  <c r="U154" i="40"/>
  <c r="U176" i="40" s="1"/>
  <c r="V194" i="40"/>
  <c r="V193" i="40"/>
  <c r="W204" i="40"/>
  <c r="U194" i="40"/>
  <c r="U193" i="40"/>
  <c r="V202" i="40"/>
  <c r="T176" i="40"/>
  <c r="V203" i="40"/>
  <c r="Z163" i="40"/>
  <c r="Y186" i="40"/>
  <c r="U207" i="40"/>
  <c r="U208" i="40" s="1"/>
  <c r="U209" i="40" s="1"/>
  <c r="W145" i="40"/>
  <c r="T214" i="40"/>
  <c r="T213" i="40"/>
  <c r="V205" i="40"/>
  <c r="V207" i="40" s="1"/>
  <c r="V208" i="40" s="1"/>
  <c r="W188" i="40"/>
  <c r="V192" i="40"/>
  <c r="X165" i="40"/>
  <c r="Y148" i="40"/>
  <c r="T157" i="40"/>
  <c r="T156" i="40"/>
  <c r="S19" i="33"/>
  <c r="T18" i="33"/>
  <c r="T19" i="33" s="1"/>
  <c r="T15" i="33"/>
  <c r="T16" i="33" s="1"/>
  <c r="H132" i="41" l="1"/>
  <c r="I132" i="41" s="1"/>
  <c r="L132" i="41" s="1"/>
  <c r="D133" i="41"/>
  <c r="F132" i="41"/>
  <c r="N131" i="41"/>
  <c r="O131" i="41"/>
  <c r="Q131" i="41" s="1"/>
  <c r="M131" i="41"/>
  <c r="U211" i="40"/>
  <c r="U210" i="40"/>
  <c r="U213" i="40"/>
  <c r="U214" i="40"/>
  <c r="V197" i="40"/>
  <c r="V196" i="40"/>
  <c r="Y187" i="40"/>
  <c r="V152" i="40"/>
  <c r="V154" i="40"/>
  <c r="W205" i="40"/>
  <c r="X188" i="40"/>
  <c r="X145" i="40"/>
  <c r="Z186" i="40"/>
  <c r="V210" i="40"/>
  <c r="W202" i="40"/>
  <c r="X204" i="40"/>
  <c r="X147" i="40"/>
  <c r="W164" i="40"/>
  <c r="W167" i="40" s="1"/>
  <c r="W168" i="40" s="1"/>
  <c r="W150" i="40"/>
  <c r="W151" i="40" s="1"/>
  <c r="V211" i="40"/>
  <c r="W203" i="40"/>
  <c r="U157" i="40"/>
  <c r="U156" i="40"/>
  <c r="W190" i="40"/>
  <c r="W191" i="40" s="1"/>
  <c r="V171" i="40"/>
  <c r="V170" i="40"/>
  <c r="V169" i="40"/>
  <c r="Z148" i="40"/>
  <c r="Y165" i="40"/>
  <c r="V209" i="40"/>
  <c r="V153" i="40"/>
  <c r="U216" i="40"/>
  <c r="V216" i="40"/>
  <c r="Z162" i="40"/>
  <c r="Y146" i="40"/>
  <c r="Z185" i="40"/>
  <c r="U174" i="40"/>
  <c r="U173" i="40"/>
  <c r="T20" i="33"/>
  <c r="D134" i="41" l="1"/>
  <c r="F133" i="41"/>
  <c r="H133" i="41"/>
  <c r="I133" i="41" s="1"/>
  <c r="N132" i="41"/>
  <c r="O132" i="41"/>
  <c r="Q132" i="41" s="1"/>
  <c r="M132" i="41"/>
  <c r="Z146" i="40"/>
  <c r="X202" i="40"/>
  <c r="AA186" i="40"/>
  <c r="V214" i="40"/>
  <c r="V213" i="40"/>
  <c r="V174" i="40"/>
  <c r="V173" i="40"/>
  <c r="W152" i="40"/>
  <c r="W154" i="40"/>
  <c r="Y204" i="40"/>
  <c r="Y145" i="40"/>
  <c r="V176" i="40"/>
  <c r="W171" i="40"/>
  <c r="W170" i="40"/>
  <c r="W169" i="40"/>
  <c r="X205" i="40"/>
  <c r="Y188" i="40"/>
  <c r="V157" i="40"/>
  <c r="V156" i="40"/>
  <c r="X203" i="40"/>
  <c r="X164" i="40"/>
  <c r="X167" i="40" s="1"/>
  <c r="X168" i="40" s="1"/>
  <c r="Y147" i="40"/>
  <c r="X150" i="40"/>
  <c r="X151" i="40" s="1"/>
  <c r="X190" i="40"/>
  <c r="X191" i="40" s="1"/>
  <c r="AA185" i="40"/>
  <c r="Z165" i="40"/>
  <c r="W194" i="40"/>
  <c r="W193" i="40"/>
  <c r="W207" i="40"/>
  <c r="W208" i="40" s="1"/>
  <c r="W209" i="40" s="1"/>
  <c r="W153" i="40"/>
  <c r="W192" i="40"/>
  <c r="Z187" i="40"/>
  <c r="H44" i="31"/>
  <c r="I44" i="31" s="1"/>
  <c r="L44" i="31" s="1"/>
  <c r="M44" i="31" s="1"/>
  <c r="P44" i="31" s="1"/>
  <c r="Q44" i="31" s="1"/>
  <c r="F44" i="31"/>
  <c r="D44" i="31"/>
  <c r="H43" i="31"/>
  <c r="I43" i="31" s="1"/>
  <c r="L43" i="31" s="1"/>
  <c r="M43" i="31" s="1"/>
  <c r="P43" i="31" s="1"/>
  <c r="Q43" i="31" s="1"/>
  <c r="F43" i="31"/>
  <c r="D43" i="31"/>
  <c r="H42" i="31"/>
  <c r="I42" i="31" s="1"/>
  <c r="L42" i="31" s="1"/>
  <c r="M42" i="31" s="1"/>
  <c r="P42" i="31" s="1"/>
  <c r="Q42" i="31" s="1"/>
  <c r="F42" i="31"/>
  <c r="D42" i="31"/>
  <c r="H41" i="31"/>
  <c r="I41" i="31" s="1"/>
  <c r="L41" i="31" s="1"/>
  <c r="M41" i="31" s="1"/>
  <c r="P41" i="31" s="1"/>
  <c r="Q41" i="31" s="1"/>
  <c r="F41" i="31"/>
  <c r="D41" i="31"/>
  <c r="H40" i="31"/>
  <c r="I40" i="31" s="1"/>
  <c r="L40" i="31" s="1"/>
  <c r="M40" i="31" s="1"/>
  <c r="P40" i="31" s="1"/>
  <c r="Q40" i="31" s="1"/>
  <c r="F40" i="31"/>
  <c r="D40" i="31"/>
  <c r="H39" i="31"/>
  <c r="I39" i="31" s="1"/>
  <c r="L39" i="31" s="1"/>
  <c r="M39" i="31" s="1"/>
  <c r="P39" i="31" s="1"/>
  <c r="Q39" i="31" s="1"/>
  <c r="F39" i="31"/>
  <c r="D39" i="31"/>
  <c r="H38" i="31"/>
  <c r="I38" i="31" s="1"/>
  <c r="L38" i="31" s="1"/>
  <c r="M38" i="31" s="1"/>
  <c r="P38" i="31" s="1"/>
  <c r="Q38" i="31" s="1"/>
  <c r="F38" i="31"/>
  <c r="D38" i="31"/>
  <c r="H37" i="31"/>
  <c r="I37" i="31" s="1"/>
  <c r="L37" i="31" s="1"/>
  <c r="M37" i="31" s="1"/>
  <c r="P37" i="31" s="1"/>
  <c r="Q37" i="31" s="1"/>
  <c r="F37" i="31"/>
  <c r="D37" i="31"/>
  <c r="H36" i="31"/>
  <c r="I36" i="31" s="1"/>
  <c r="L36" i="31" s="1"/>
  <c r="M36" i="31" s="1"/>
  <c r="P36" i="31" s="1"/>
  <c r="Q36" i="31" s="1"/>
  <c r="F36" i="31"/>
  <c r="D36" i="31"/>
  <c r="H35" i="31"/>
  <c r="I35" i="31" s="1"/>
  <c r="L35" i="31" s="1"/>
  <c r="M35" i="31" s="1"/>
  <c r="P35" i="31" s="1"/>
  <c r="Q35" i="31" s="1"/>
  <c r="F35" i="31"/>
  <c r="D35" i="31"/>
  <c r="H34" i="31"/>
  <c r="I34" i="31" s="1"/>
  <c r="L34" i="31" s="1"/>
  <c r="M34" i="31" s="1"/>
  <c r="P34" i="31" s="1"/>
  <c r="Q34" i="31" s="1"/>
  <c r="F34" i="31"/>
  <c r="D34" i="31"/>
  <c r="H33" i="31"/>
  <c r="I33" i="31" s="1"/>
  <c r="L33" i="31" s="1"/>
  <c r="M33" i="31" s="1"/>
  <c r="P33" i="31" s="1"/>
  <c r="Q33" i="31" s="1"/>
  <c r="F33" i="31"/>
  <c r="D33" i="31"/>
  <c r="H32" i="31"/>
  <c r="I32" i="31" s="1"/>
  <c r="L32" i="31" s="1"/>
  <c r="M32" i="31" s="1"/>
  <c r="P32" i="31" s="1"/>
  <c r="Q32" i="31" s="1"/>
  <c r="F32" i="31"/>
  <c r="D32" i="31"/>
  <c r="C63" i="30"/>
  <c r="C65" i="30" s="1"/>
  <c r="C51" i="30"/>
  <c r="C49" i="30"/>
  <c r="C36" i="30"/>
  <c r="C37" i="30" s="1"/>
  <c r="C38" i="30" s="1"/>
  <c r="C35" i="30"/>
  <c r="C33" i="30"/>
  <c r="C32" i="30"/>
  <c r="C31" i="30"/>
  <c r="C16" i="30"/>
  <c r="C17" i="30" s="1"/>
  <c r="C18" i="30" s="1"/>
  <c r="C19" i="30" s="1"/>
  <c r="C14" i="30"/>
  <c r="C13" i="30"/>
  <c r="C146" i="29"/>
  <c r="C143" i="29"/>
  <c r="C144" i="29" s="1"/>
  <c r="C147" i="29" s="1"/>
  <c r="C149" i="29" s="1"/>
  <c r="C130" i="29"/>
  <c r="C127" i="29"/>
  <c r="C128" i="29" s="1"/>
  <c r="C131" i="29" s="1"/>
  <c r="C115" i="29"/>
  <c r="C111" i="29"/>
  <c r="C113" i="29" s="1"/>
  <c r="C97" i="29"/>
  <c r="C98" i="29" s="1"/>
  <c r="C100" i="29" s="1"/>
  <c r="C102" i="29" s="1"/>
  <c r="C179" i="27"/>
  <c r="C178" i="27"/>
  <c r="C174" i="27"/>
  <c r="C175" i="27" s="1"/>
  <c r="C169" i="27"/>
  <c r="C181" i="27" s="1"/>
  <c r="C182" i="27" s="1"/>
  <c r="C158" i="28"/>
  <c r="C161" i="28" s="1"/>
  <c r="C164" i="28" s="1"/>
  <c r="C157" i="28"/>
  <c r="C160" i="28" s="1"/>
  <c r="C163" i="28" s="1"/>
  <c r="C155" i="28"/>
  <c r="C154" i="28"/>
  <c r="C121" i="28"/>
  <c r="C122" i="28" s="1"/>
  <c r="C124" i="28" s="1"/>
  <c r="C125" i="28" s="1"/>
  <c r="C126" i="28" s="1"/>
  <c r="C108" i="28"/>
  <c r="C110" i="28" s="1"/>
  <c r="C111" i="28" s="1"/>
  <c r="C113" i="28" s="1"/>
  <c r="C114" i="28" s="1"/>
  <c r="C116" i="28" s="1"/>
  <c r="C117" i="28" s="1"/>
  <c r="C118" i="28" s="1"/>
  <c r="C65" i="28"/>
  <c r="C66" i="28" s="1"/>
  <c r="C68" i="28" s="1"/>
  <c r="C69" i="28" s="1"/>
  <c r="C70" i="28" s="1"/>
  <c r="C72" i="28" s="1"/>
  <c r="C73" i="28" s="1"/>
  <c r="C75" i="28" s="1"/>
  <c r="C77" i="28" s="1"/>
  <c r="C78" i="28" s="1"/>
  <c r="C80" i="28" s="1"/>
  <c r="C81" i="28" s="1"/>
  <c r="C82" i="28" s="1"/>
  <c r="O133" i="41" l="1"/>
  <c r="Q133" i="41" s="1"/>
  <c r="N133" i="41"/>
  <c r="M133" i="41"/>
  <c r="L133" i="41"/>
  <c r="F134" i="41"/>
  <c r="D135" i="41"/>
  <c r="H134" i="41"/>
  <c r="I134" i="41" s="1"/>
  <c r="W210" i="40"/>
  <c r="W211" i="40"/>
  <c r="W216" i="40" s="1"/>
  <c r="W214" i="40"/>
  <c r="W213" i="40"/>
  <c r="AB185" i="40"/>
  <c r="Z204" i="40"/>
  <c r="X193" i="40"/>
  <c r="X194" i="40"/>
  <c r="AA187" i="40"/>
  <c r="X152" i="40"/>
  <c r="X154" i="40"/>
  <c r="X192" i="40"/>
  <c r="X153" i="40"/>
  <c r="W156" i="40"/>
  <c r="W157" i="40"/>
  <c r="Y202" i="40"/>
  <c r="W197" i="40"/>
  <c r="W196" i="40"/>
  <c r="Z147" i="40"/>
  <c r="Y164" i="40"/>
  <c r="Y167" i="40" s="1"/>
  <c r="Y168" i="40" s="1"/>
  <c r="Y150" i="40"/>
  <c r="Y151" i="40" s="1"/>
  <c r="Y205" i="40"/>
  <c r="Z188" i="40"/>
  <c r="X171" i="40"/>
  <c r="X170" i="40"/>
  <c r="X169" i="40"/>
  <c r="X207" i="40"/>
  <c r="X208" i="40" s="1"/>
  <c r="X210" i="40" s="1"/>
  <c r="Y190" i="40"/>
  <c r="Y191" i="40" s="1"/>
  <c r="Y203" i="40"/>
  <c r="W174" i="40"/>
  <c r="W173" i="40"/>
  <c r="Y153" i="40"/>
  <c r="Z145" i="40"/>
  <c r="W176" i="40"/>
  <c r="AB186" i="40"/>
  <c r="C133" i="29"/>
  <c r="C166" i="28"/>
  <c r="N134" i="41" l="1"/>
  <c r="O134" i="41"/>
  <c r="Q134" i="41" s="1"/>
  <c r="M134" i="41"/>
  <c r="F135" i="41"/>
  <c r="H135" i="41"/>
  <c r="I135" i="41" s="1"/>
  <c r="D136" i="41"/>
  <c r="L135" i="41"/>
  <c r="L134" i="41"/>
  <c r="X211" i="40"/>
  <c r="AC186" i="40"/>
  <c r="Y152" i="40"/>
  <c r="Y154" i="40"/>
  <c r="Z203" i="40"/>
  <c r="X176" i="40"/>
  <c r="X216" i="40"/>
  <c r="AC185" i="40"/>
  <c r="X157" i="40"/>
  <c r="X156" i="40"/>
  <c r="X209" i="40"/>
  <c r="Z205" i="40"/>
  <c r="AA188" i="40"/>
  <c r="Y171" i="40"/>
  <c r="Y170" i="40"/>
  <c r="Y169" i="40"/>
  <c r="AA190" i="40"/>
  <c r="AA191" i="40" s="1"/>
  <c r="AB187" i="40"/>
  <c r="AA204" i="40"/>
  <c r="Y194" i="40"/>
  <c r="Y193" i="40"/>
  <c r="X174" i="40"/>
  <c r="X173" i="40"/>
  <c r="Y192" i="40"/>
  <c r="Z164" i="40"/>
  <c r="Z167" i="40" s="1"/>
  <c r="Z168" i="40" s="1"/>
  <c r="Z150" i="40"/>
  <c r="Z151" i="40" s="1"/>
  <c r="Z202" i="40"/>
  <c r="X196" i="40"/>
  <c r="X197" i="40"/>
  <c r="Z190" i="40"/>
  <c r="Z191" i="40" s="1"/>
  <c r="Z192" i="40" s="1"/>
  <c r="Y207" i="40"/>
  <c r="Y208" i="40" s="1"/>
  <c r="Y210" i="40" s="1"/>
  <c r="C291" i="27"/>
  <c r="C290" i="27"/>
  <c r="C287" i="27"/>
  <c r="C288" i="27" s="1"/>
  <c r="C270" i="27"/>
  <c r="C271" i="27" s="1"/>
  <c r="C268" i="27"/>
  <c r="C273" i="27" s="1"/>
  <c r="B275" i="27" s="1"/>
  <c r="C267" i="27"/>
  <c r="E254" i="27"/>
  <c r="C243" i="27"/>
  <c r="C245" i="27" s="1"/>
  <c r="C248" i="27" s="1"/>
  <c r="C249" i="27" s="1"/>
  <c r="C250" i="27" s="1"/>
  <c r="B252" i="27" s="1"/>
  <c r="C394" i="27"/>
  <c r="C395" i="27" s="1"/>
  <c r="C397" i="27" s="1"/>
  <c r="C398" i="27" s="1"/>
  <c r="C399" i="27" s="1"/>
  <c r="C383" i="27"/>
  <c r="C384" i="27" s="1"/>
  <c r="C385" i="27" s="1"/>
  <c r="C369" i="27"/>
  <c r="C370" i="27" s="1"/>
  <c r="C372" i="27" s="1"/>
  <c r="C373" i="27" s="1"/>
  <c r="C374" i="27" s="1"/>
  <c r="C348" i="27"/>
  <c r="C349" i="27" s="1"/>
  <c r="C351" i="27" s="1"/>
  <c r="C352" i="27" s="1"/>
  <c r="C354" i="27"/>
  <c r="C355" i="27"/>
  <c r="C123" i="27"/>
  <c r="C122" i="27"/>
  <c r="C112" i="27"/>
  <c r="C113" i="27" s="1"/>
  <c r="C115" i="27" s="1"/>
  <c r="C116" i="27" s="1"/>
  <c r="C117" i="27" s="1"/>
  <c r="C124" i="27" s="1"/>
  <c r="C126" i="27" s="1"/>
  <c r="C127" i="27" s="1"/>
  <c r="F16" i="27"/>
  <c r="C216" i="27"/>
  <c r="C217" i="27" s="1"/>
  <c r="C218" i="27" s="1"/>
  <c r="C219" i="27" s="1"/>
  <c r="C220" i="27" s="1"/>
  <c r="C223" i="27" s="1"/>
  <c r="C224" i="27" s="1"/>
  <c r="C225" i="27" s="1"/>
  <c r="C226" i="27" s="1"/>
  <c r="C211" i="27"/>
  <c r="C212" i="27" s="1"/>
  <c r="C213" i="27" s="1"/>
  <c r="C157" i="27"/>
  <c r="C156" i="27"/>
  <c r="C147" i="27"/>
  <c r="C148" i="27" s="1"/>
  <c r="C150" i="27" s="1"/>
  <c r="C151" i="27" s="1"/>
  <c r="C152" i="27" s="1"/>
  <c r="D58" i="27"/>
  <c r="F58" i="27" s="1"/>
  <c r="D57" i="27"/>
  <c r="F57" i="27" s="1"/>
  <c r="D55" i="27"/>
  <c r="F55" i="27" s="1"/>
  <c r="D54" i="27"/>
  <c r="F54" i="27" s="1"/>
  <c r="D53" i="27"/>
  <c r="F53" i="27" s="1"/>
  <c r="D52" i="27"/>
  <c r="F52" i="27" s="1"/>
  <c r="D51" i="27"/>
  <c r="F51" i="27" s="1"/>
  <c r="D47" i="27"/>
  <c r="F47" i="27" s="1"/>
  <c r="D46" i="27"/>
  <c r="F46" i="27" s="1"/>
  <c r="D44" i="27"/>
  <c r="F44" i="27" s="1"/>
  <c r="D41" i="27"/>
  <c r="F41" i="27" s="1"/>
  <c r="D40" i="27"/>
  <c r="F40" i="27" s="1"/>
  <c r="D39" i="27"/>
  <c r="F39" i="27" s="1"/>
  <c r="D38" i="27"/>
  <c r="F38" i="27" s="1"/>
  <c r="D37" i="27"/>
  <c r="F37" i="27" s="1"/>
  <c r="D36" i="27"/>
  <c r="F36" i="27" s="1"/>
  <c r="D35" i="27"/>
  <c r="F35" i="27" s="1"/>
  <c r="D33" i="27"/>
  <c r="F33" i="27" s="1"/>
  <c r="D32" i="27"/>
  <c r="F32" i="27" s="1"/>
  <c r="D31" i="27"/>
  <c r="F31" i="27" s="1"/>
  <c r="D30" i="27"/>
  <c r="F30" i="27" s="1"/>
  <c r="D29" i="27"/>
  <c r="F29" i="27" s="1"/>
  <c r="D28" i="27"/>
  <c r="F28" i="27" s="1"/>
  <c r="D27" i="27"/>
  <c r="F27" i="27" s="1"/>
  <c r="D26" i="27"/>
  <c r="F26" i="27" s="1"/>
  <c r="D25" i="27"/>
  <c r="F25" i="27" s="1"/>
  <c r="D24" i="27"/>
  <c r="F24" i="27" s="1"/>
  <c r="D22" i="27"/>
  <c r="F22" i="27" s="1"/>
  <c r="D21" i="27"/>
  <c r="F21" i="27" s="1"/>
  <c r="D19" i="27"/>
  <c r="F19" i="27" s="1"/>
  <c r="D17" i="27"/>
  <c r="F17" i="27" s="1"/>
  <c r="B21" i="26"/>
  <c r="C8" i="26"/>
  <c r="B8" i="26"/>
  <c r="B7" i="26"/>
  <c r="B9" i="26" s="1"/>
  <c r="C6" i="26"/>
  <c r="C7" i="26" s="1"/>
  <c r="C9" i="26" s="1"/>
  <c r="C17" i="26" s="1"/>
  <c r="C25" i="26" s="1"/>
  <c r="C28" i="26" s="1"/>
  <c r="B6" i="26"/>
  <c r="D5" i="26"/>
  <c r="C5" i="26"/>
  <c r="C21" i="26" s="1"/>
  <c r="C531" i="25"/>
  <c r="C532" i="25" s="1"/>
  <c r="C533" i="25" s="1"/>
  <c r="C534" i="25" s="1"/>
  <c r="C512" i="25"/>
  <c r="C513" i="25" s="1"/>
  <c r="C511" i="25"/>
  <c r="C477" i="25"/>
  <c r="C478" i="25" s="1"/>
  <c r="C480" i="25" s="1"/>
  <c r="C473" i="25"/>
  <c r="C482" i="25" s="1"/>
  <c r="C483" i="25" s="1"/>
  <c r="C451" i="25"/>
  <c r="C452" i="25" s="1"/>
  <c r="C453" i="25" s="1"/>
  <c r="C444" i="25"/>
  <c r="C445" i="25" s="1"/>
  <c r="C446" i="25" s="1"/>
  <c r="B455" i="25" s="1"/>
  <c r="C419" i="25"/>
  <c r="C418" i="25"/>
  <c r="C400" i="25"/>
  <c r="C396" i="25"/>
  <c r="C386" i="25"/>
  <c r="C387" i="25" s="1"/>
  <c r="C389" i="25" s="1"/>
  <c r="C351" i="25"/>
  <c r="C344" i="25"/>
  <c r="C345" i="25" s="1"/>
  <c r="C346" i="25" s="1"/>
  <c r="C291" i="25"/>
  <c r="C289" i="25"/>
  <c r="C293" i="25" s="1"/>
  <c r="C294" i="25" s="1"/>
  <c r="C295" i="25" s="1"/>
  <c r="C296" i="25" s="1"/>
  <c r="C259" i="25"/>
  <c r="C260" i="25" s="1"/>
  <c r="C229" i="25"/>
  <c r="C231" i="25" s="1"/>
  <c r="C233" i="25" s="1"/>
  <c r="C234" i="25" s="1"/>
  <c r="C235" i="25" s="1"/>
  <c r="B96" i="25"/>
  <c r="B95" i="25"/>
  <c r="B94" i="25"/>
  <c r="C84" i="25"/>
  <c r="C86" i="25" s="1"/>
  <c r="C94" i="25" s="1"/>
  <c r="C98" i="25" s="1"/>
  <c r="C102" i="25" s="1"/>
  <c r="C54" i="25"/>
  <c r="C49" i="25"/>
  <c r="C44" i="25"/>
  <c r="B24" i="25"/>
  <c r="C12" i="25"/>
  <c r="D4" i="25"/>
  <c r="D6" i="25" s="1"/>
  <c r="O189" i="25"/>
  <c r="O190" i="25" s="1"/>
  <c r="O191" i="25" s="1"/>
  <c r="C189" i="25"/>
  <c r="C195" i="25" s="1"/>
  <c r="C199" i="25" s="1"/>
  <c r="C188" i="25"/>
  <c r="C194" i="25" s="1"/>
  <c r="C198" i="25" s="1"/>
  <c r="O185" i="25"/>
  <c r="O186" i="25" s="1"/>
  <c r="O187" i="25" s="1"/>
  <c r="O181" i="25"/>
  <c r="O182" i="25" s="1"/>
  <c r="O183" i="25" s="1"/>
  <c r="C180" i="25"/>
  <c r="C187" i="25" s="1"/>
  <c r="C169" i="25"/>
  <c r="C166" i="25"/>
  <c r="C170" i="25" s="1"/>
  <c r="C156" i="25"/>
  <c r="C153" i="25"/>
  <c r="C157" i="25" s="1"/>
  <c r="C144" i="25"/>
  <c r="C143" i="25"/>
  <c r="C145" i="25" s="1"/>
  <c r="C140" i="25"/>
  <c r="H118" i="25"/>
  <c r="C118" i="25"/>
  <c r="J116" i="25"/>
  <c r="E116" i="25"/>
  <c r="C67" i="25"/>
  <c r="C70" i="25" s="1"/>
  <c r="C73" i="25" s="1"/>
  <c r="C75" i="25" s="1"/>
  <c r="H136" i="41" l="1"/>
  <c r="I136" i="41" s="1"/>
  <c r="L136" i="41" s="1"/>
  <c r="D137" i="41"/>
  <c r="F136" i="41"/>
  <c r="N135" i="41"/>
  <c r="O135" i="41"/>
  <c r="Q135" i="41" s="1"/>
  <c r="M135" i="41"/>
  <c r="Y157" i="40"/>
  <c r="Y156" i="40"/>
  <c r="Z152" i="40"/>
  <c r="Z154" i="40"/>
  <c r="AB204" i="40"/>
  <c r="Y209" i="40"/>
  <c r="Y176" i="40"/>
  <c r="Z171" i="40"/>
  <c r="Z170" i="40"/>
  <c r="Z169" i="40"/>
  <c r="AC187" i="40"/>
  <c r="X214" i="40"/>
  <c r="X213" i="40"/>
  <c r="AD185" i="40"/>
  <c r="AA203" i="40"/>
  <c r="AA202" i="40"/>
  <c r="Y197" i="40"/>
  <c r="Y196" i="40"/>
  <c r="AA194" i="40"/>
  <c r="AA193" i="40"/>
  <c r="Z197" i="40"/>
  <c r="Z196" i="40"/>
  <c r="Y211" i="40"/>
  <c r="Y216" i="40" s="1"/>
  <c r="Z194" i="40"/>
  <c r="Z193" i="40"/>
  <c r="Z207" i="40"/>
  <c r="Z208" i="40" s="1"/>
  <c r="Z209" i="40" s="1"/>
  <c r="Y174" i="40"/>
  <c r="Y173" i="40"/>
  <c r="AA205" i="40"/>
  <c r="AA207" i="40" s="1"/>
  <c r="AA208" i="40" s="1"/>
  <c r="AA192" i="40"/>
  <c r="AB188" i="40"/>
  <c r="AB190" i="40" s="1"/>
  <c r="AB191" i="40" s="1"/>
  <c r="Z153" i="40"/>
  <c r="AD186" i="40"/>
  <c r="C293" i="27"/>
  <c r="B295" i="27" s="1"/>
  <c r="C129" i="27"/>
  <c r="C130" i="27" s="1"/>
  <c r="C131" i="27" s="1"/>
  <c r="C228" i="27"/>
  <c r="B230" i="27" s="1"/>
  <c r="B17" i="26"/>
  <c r="B25" i="26" s="1"/>
  <c r="B28" i="26" s="1"/>
  <c r="B13" i="26"/>
  <c r="D6" i="26"/>
  <c r="D7" i="26" s="1"/>
  <c r="D9" i="26" s="1"/>
  <c r="E5" i="26"/>
  <c r="D8" i="26"/>
  <c r="C13" i="26"/>
  <c r="D21" i="26"/>
  <c r="C51" i="25"/>
  <c r="C538" i="25"/>
  <c r="C539" i="25" s="1"/>
  <c r="C540" i="25" s="1"/>
  <c r="B542" i="25" s="1"/>
  <c r="C536" i="25"/>
  <c r="C515" i="25"/>
  <c r="C519" i="25"/>
  <c r="C158" i="25"/>
  <c r="C421" i="25"/>
  <c r="C422" i="25" s="1"/>
  <c r="C423" i="25" s="1"/>
  <c r="C425" i="25" s="1"/>
  <c r="C429" i="25" s="1"/>
  <c r="C405" i="25"/>
  <c r="C390" i="25"/>
  <c r="C401" i="25"/>
  <c r="C403" i="25" s="1"/>
  <c r="C348" i="25"/>
  <c r="C354" i="25"/>
  <c r="C485" i="25"/>
  <c r="C486" i="25" s="1"/>
  <c r="B488" i="25" s="1"/>
  <c r="C265" i="25"/>
  <c r="C266" i="25" s="1"/>
  <c r="C261" i="25"/>
  <c r="C262" i="25" s="1"/>
  <c r="C263" i="25" s="1"/>
  <c r="C298" i="25"/>
  <c r="C171" i="25"/>
  <c r="C87" i="25"/>
  <c r="C95" i="25" s="1"/>
  <c r="C99" i="25" s="1"/>
  <c r="C88" i="25"/>
  <c r="C96" i="25" s="1"/>
  <c r="C100" i="25" s="1"/>
  <c r="C201" i="25"/>
  <c r="C193" i="25"/>
  <c r="C197" i="25" s="1"/>
  <c r="C202" i="25"/>
  <c r="C203" i="25"/>
  <c r="D138" i="41" l="1"/>
  <c r="H137" i="41"/>
  <c r="I137" i="41" s="1"/>
  <c r="F137" i="41"/>
  <c r="N136" i="41"/>
  <c r="O136" i="41"/>
  <c r="Q136" i="41" s="1"/>
  <c r="M136" i="41"/>
  <c r="Z211" i="40"/>
  <c r="Z210" i="40"/>
  <c r="Z216" i="40"/>
  <c r="Z214" i="40"/>
  <c r="Z213" i="40"/>
  <c r="AE185" i="40"/>
  <c r="AB205" i="40"/>
  <c r="AB207" i="40" s="1"/>
  <c r="AB208" i="40" s="1"/>
  <c r="AC188" i="40"/>
  <c r="AB192" i="40"/>
  <c r="AA209" i="40"/>
  <c r="Z157" i="40"/>
  <c r="Z156" i="40"/>
  <c r="AA210" i="40"/>
  <c r="AB202" i="40"/>
  <c r="AB194" i="40"/>
  <c r="AB193" i="40"/>
  <c r="AD187" i="40"/>
  <c r="AC204" i="40"/>
  <c r="AE186" i="40"/>
  <c r="AA197" i="40"/>
  <c r="AA196" i="40"/>
  <c r="AA211" i="40"/>
  <c r="AA216" i="40" s="1"/>
  <c r="AB203" i="40"/>
  <c r="Z174" i="40"/>
  <c r="Z173" i="40"/>
  <c r="Y214" i="40"/>
  <c r="Y213" i="40"/>
  <c r="Z176" i="40"/>
  <c r="D17" i="26"/>
  <c r="D25" i="26" s="1"/>
  <c r="D28" i="26" s="1"/>
  <c r="D13" i="26"/>
  <c r="E21" i="26"/>
  <c r="E6" i="26"/>
  <c r="E7" i="26" s="1"/>
  <c r="E9" i="26" s="1"/>
  <c r="E8" i="26"/>
  <c r="F5" i="26"/>
  <c r="C520" i="25"/>
  <c r="C355" i="25"/>
  <c r="C357" i="25" s="1"/>
  <c r="C361" i="25"/>
  <c r="C362" i="25" s="1"/>
  <c r="C364" i="25" s="1"/>
  <c r="C366" i="25" s="1"/>
  <c r="C214" i="25"/>
  <c r="C213" i="25"/>
  <c r="C207" i="25"/>
  <c r="C215" i="25"/>
  <c r="O137" i="41" l="1"/>
  <c r="Q137" i="41" s="1"/>
  <c r="N137" i="41"/>
  <c r="M137" i="41"/>
  <c r="L137" i="41"/>
  <c r="F138" i="41"/>
  <c r="H138" i="41"/>
  <c r="I138" i="41" s="1"/>
  <c r="D139" i="41"/>
  <c r="AD204" i="40"/>
  <c r="AB197" i="40"/>
  <c r="AB196" i="40"/>
  <c r="AF186" i="40"/>
  <c r="AE187" i="40"/>
  <c r="AF185" i="40"/>
  <c r="AC205" i="40"/>
  <c r="AD188" i="40"/>
  <c r="AD190" i="40" s="1"/>
  <c r="AD191" i="40" s="1"/>
  <c r="AB211" i="40"/>
  <c r="AB216" i="40" s="1"/>
  <c r="AC203" i="40"/>
  <c r="AC190" i="40"/>
  <c r="AC191" i="40" s="1"/>
  <c r="AB210" i="40"/>
  <c r="AC202" i="40"/>
  <c r="AA214" i="40"/>
  <c r="AA213" i="40"/>
  <c r="AB209" i="40"/>
  <c r="F8" i="26"/>
  <c r="F6" i="26"/>
  <c r="F7" i="26" s="1"/>
  <c r="F9" i="26" s="1"/>
  <c r="F21" i="26"/>
  <c r="G5" i="26"/>
  <c r="E17" i="26"/>
  <c r="E25" i="26" s="1"/>
  <c r="E28" i="26" s="1"/>
  <c r="E13" i="26"/>
  <c r="B370" i="25"/>
  <c r="B369" i="25"/>
  <c r="B368" i="25"/>
  <c r="C209" i="25"/>
  <c r="C211" i="25"/>
  <c r="C210" i="25"/>
  <c r="F139" i="41" l="1"/>
  <c r="H139" i="41"/>
  <c r="I139" i="41" s="1"/>
  <c r="L139" i="41" s="1"/>
  <c r="D140" i="41"/>
  <c r="N138" i="41"/>
  <c r="O138" i="41"/>
  <c r="Q138" i="41" s="1"/>
  <c r="M138" i="41"/>
  <c r="L138" i="41"/>
  <c r="AD203" i="40"/>
  <c r="AF187" i="40"/>
  <c r="AD202" i="40"/>
  <c r="AD194" i="40"/>
  <c r="AD193" i="40"/>
  <c r="AB214" i="40"/>
  <c r="AB213" i="40"/>
  <c r="AD205" i="40"/>
  <c r="AE188" i="40"/>
  <c r="AE190" i="40" s="1"/>
  <c r="AE191" i="40" s="1"/>
  <c r="AD192" i="40"/>
  <c r="AG185" i="40"/>
  <c r="AG186" i="40"/>
  <c r="AD207" i="40"/>
  <c r="AD208" i="40" s="1"/>
  <c r="AE204" i="40"/>
  <c r="AC193" i="40"/>
  <c r="AC194" i="40"/>
  <c r="AC192" i="40"/>
  <c r="AC207" i="40"/>
  <c r="AC208" i="40" s="1"/>
  <c r="AC211" i="40" s="1"/>
  <c r="F17" i="26"/>
  <c r="F25" i="26" s="1"/>
  <c r="F28" i="26" s="1"/>
  <c r="F13" i="26"/>
  <c r="G21" i="26"/>
  <c r="G8" i="26"/>
  <c r="H5" i="26"/>
  <c r="G6" i="26"/>
  <c r="G7" i="26" s="1"/>
  <c r="G9" i="26" s="1"/>
  <c r="H140" i="41" l="1"/>
  <c r="I140" i="41" s="1"/>
  <c r="L140" i="41" s="1"/>
  <c r="D141" i="41"/>
  <c r="F140" i="41"/>
  <c r="N139" i="41"/>
  <c r="O139" i="41"/>
  <c r="Q139" i="41" s="1"/>
  <c r="M139" i="41"/>
  <c r="AE194" i="40"/>
  <c r="AE193" i="40"/>
  <c r="AC197" i="40"/>
  <c r="AC196" i="40"/>
  <c r="AF204" i="40"/>
  <c r="AD209" i="40"/>
  <c r="AD216" i="40"/>
  <c r="AH185" i="40"/>
  <c r="AD210" i="40"/>
  <c r="AE202" i="40"/>
  <c r="AC209" i="40"/>
  <c r="AC216" i="40"/>
  <c r="AD197" i="40"/>
  <c r="AD196" i="40"/>
  <c r="AC210" i="40"/>
  <c r="AD211" i="40"/>
  <c r="AE203" i="40"/>
  <c r="AH186" i="40"/>
  <c r="AE192" i="40"/>
  <c r="AF188" i="40"/>
  <c r="AF190" i="40" s="1"/>
  <c r="AF191" i="40" s="1"/>
  <c r="AE205" i="40"/>
  <c r="AG187" i="40"/>
  <c r="H21" i="26"/>
  <c r="H6" i="26"/>
  <c r="H7" i="26" s="1"/>
  <c r="H9" i="26" s="1"/>
  <c r="I5" i="26"/>
  <c r="H8" i="26"/>
  <c r="G17" i="26"/>
  <c r="G25" i="26" s="1"/>
  <c r="G28" i="26" s="1"/>
  <c r="G13" i="26"/>
  <c r="D142" i="41" l="1"/>
  <c r="F141" i="41"/>
  <c r="H141" i="41"/>
  <c r="I141" i="41" s="1"/>
  <c r="N140" i="41"/>
  <c r="O140" i="41"/>
  <c r="Q140" i="41" s="1"/>
  <c r="M140" i="41"/>
  <c r="AF194" i="40"/>
  <c r="AF193" i="40"/>
  <c r="AF202" i="40"/>
  <c r="AI186" i="40"/>
  <c r="AC214" i="40"/>
  <c r="AC213" i="40"/>
  <c r="AG204" i="40"/>
  <c r="AF205" i="40"/>
  <c r="AG188" i="40"/>
  <c r="AG190" i="40" s="1"/>
  <c r="AG191" i="40" s="1"/>
  <c r="AF192" i="40"/>
  <c r="AF203" i="40"/>
  <c r="AD214" i="40"/>
  <c r="AD213" i="40"/>
  <c r="AH187" i="40"/>
  <c r="AE197" i="40"/>
  <c r="AE196" i="40"/>
  <c r="AI185" i="40"/>
  <c r="AE207" i="40"/>
  <c r="AE208" i="40" s="1"/>
  <c r="AE209" i="40" s="1"/>
  <c r="I21" i="26"/>
  <c r="J5" i="26"/>
  <c r="I6" i="26"/>
  <c r="I7" i="26" s="1"/>
  <c r="I9" i="26" s="1"/>
  <c r="I8" i="26"/>
  <c r="H17" i="26"/>
  <c r="H25" i="26" s="1"/>
  <c r="H28" i="26" s="1"/>
  <c r="H13" i="26"/>
  <c r="O141" i="41" l="1"/>
  <c r="Q141" i="41" s="1"/>
  <c r="N141" i="41"/>
  <c r="M141" i="41"/>
  <c r="L141" i="41"/>
  <c r="F142" i="41"/>
  <c r="D143" i="41"/>
  <c r="H142" i="41"/>
  <c r="I142" i="41" s="1"/>
  <c r="AE210" i="40"/>
  <c r="AE214" i="40"/>
  <c r="AE213" i="40"/>
  <c r="AG194" i="40"/>
  <c r="AG193" i="40"/>
  <c r="AG203" i="40"/>
  <c r="AF209" i="40"/>
  <c r="AJ185" i="40"/>
  <c r="AI187" i="40"/>
  <c r="AE211" i="40"/>
  <c r="AE216" i="40" s="1"/>
  <c r="AH204" i="40"/>
  <c r="AF197" i="40"/>
  <c r="AF196" i="40"/>
  <c r="AF207" i="40"/>
  <c r="AF208" i="40" s="1"/>
  <c r="AF211" i="40" s="1"/>
  <c r="AF216" i="40" s="1"/>
  <c r="AJ186" i="40"/>
  <c r="AG205" i="40"/>
  <c r="AG192" i="40"/>
  <c r="AH188" i="40"/>
  <c r="AF210" i="40"/>
  <c r="AG202" i="40"/>
  <c r="I17" i="26"/>
  <c r="I25" i="26" s="1"/>
  <c r="I28" i="26" s="1"/>
  <c r="I13" i="26"/>
  <c r="J8" i="26"/>
  <c r="K5" i="26"/>
  <c r="J21" i="26"/>
  <c r="J6" i="26"/>
  <c r="J7" i="26" s="1"/>
  <c r="J9" i="26" s="1"/>
  <c r="N142" i="41" l="1"/>
  <c r="O142" i="41"/>
  <c r="Q142" i="41" s="1"/>
  <c r="M142" i="41"/>
  <c r="F143" i="41"/>
  <c r="H143" i="41"/>
  <c r="I143" i="41" s="1"/>
  <c r="D144" i="41"/>
  <c r="L143" i="41"/>
  <c r="L142" i="41"/>
  <c r="AH202" i="40"/>
  <c r="AH203" i="40"/>
  <c r="AK186" i="40"/>
  <c r="AJ187" i="40"/>
  <c r="AH205" i="40"/>
  <c r="AI188" i="40"/>
  <c r="AI204" i="40"/>
  <c r="AH207" i="40"/>
  <c r="AH208" i="40" s="1"/>
  <c r="AH190" i="40"/>
  <c r="AH191" i="40" s="1"/>
  <c r="AH192" i="40" s="1"/>
  <c r="AF213" i="40"/>
  <c r="AF214" i="40"/>
  <c r="AG197" i="40"/>
  <c r="AG196" i="40"/>
  <c r="AG207" i="40"/>
  <c r="AG208" i="40" s="1"/>
  <c r="AG210" i="40" s="1"/>
  <c r="AK185" i="40"/>
  <c r="K21" i="26"/>
  <c r="K6" i="26"/>
  <c r="K7" i="26" s="1"/>
  <c r="K9" i="26" s="1"/>
  <c r="K8" i="26"/>
  <c r="L5" i="26"/>
  <c r="J17" i="26"/>
  <c r="J25" i="26" s="1"/>
  <c r="J28" i="26" s="1"/>
  <c r="J13" i="26"/>
  <c r="H144" i="41" l="1"/>
  <c r="I144" i="41" s="1"/>
  <c r="L144" i="41" s="1"/>
  <c r="D145" i="41"/>
  <c r="F144" i="41"/>
  <c r="N143" i="41"/>
  <c r="O143" i="41"/>
  <c r="Q143" i="41" s="1"/>
  <c r="M143" i="41"/>
  <c r="AH197" i="40"/>
  <c r="AH196" i="40"/>
  <c r="AK187" i="40"/>
  <c r="AH211" i="40"/>
  <c r="AI203" i="40"/>
  <c r="AI205" i="40"/>
  <c r="AJ188" i="40"/>
  <c r="AJ190" i="40" s="1"/>
  <c r="AJ191" i="40" s="1"/>
  <c r="AI190" i="40"/>
  <c r="AI191" i="40" s="1"/>
  <c r="AI192" i="40" s="1"/>
  <c r="AG211" i="40"/>
  <c r="AG216" i="40" s="1"/>
  <c r="AH193" i="40"/>
  <c r="AH194" i="40"/>
  <c r="AH216" i="40" s="1"/>
  <c r="AL185" i="40"/>
  <c r="AH209" i="40"/>
  <c r="AH210" i="40"/>
  <c r="AI202" i="40"/>
  <c r="AJ204" i="40"/>
  <c r="AI207" i="40"/>
  <c r="AI208" i="40" s="1"/>
  <c r="AG209" i="40"/>
  <c r="AL186" i="40"/>
  <c r="L6" i="26"/>
  <c r="L7" i="26" s="1"/>
  <c r="L9" i="26" s="1"/>
  <c r="M5" i="26"/>
  <c r="L8" i="26"/>
  <c r="L21" i="26"/>
  <c r="K17" i="26"/>
  <c r="K25" i="26" s="1"/>
  <c r="K28" i="26" s="1"/>
  <c r="K13" i="26"/>
  <c r="D146" i="41" l="1"/>
  <c r="H145" i="41"/>
  <c r="I145" i="41" s="1"/>
  <c r="F145" i="41"/>
  <c r="N144" i="41"/>
  <c r="O144" i="41"/>
  <c r="Q144" i="41" s="1"/>
  <c r="M144" i="41"/>
  <c r="AI197" i="40"/>
  <c r="AI196" i="40"/>
  <c r="AJ194" i="40"/>
  <c r="AJ193" i="40"/>
  <c r="AM186" i="40"/>
  <c r="AH214" i="40"/>
  <c r="AH213" i="40"/>
  <c r="AL187" i="40"/>
  <c r="AI209" i="40"/>
  <c r="AK204" i="40"/>
  <c r="AM185" i="40"/>
  <c r="AI210" i="40"/>
  <c r="AJ202" i="40"/>
  <c r="AI194" i="40"/>
  <c r="AI216" i="40" s="1"/>
  <c r="AI193" i="40"/>
  <c r="AI211" i="40"/>
  <c r="AJ203" i="40"/>
  <c r="AG214" i="40"/>
  <c r="AG213" i="40"/>
  <c r="AJ205" i="40"/>
  <c r="AK188" i="40"/>
  <c r="AK190" i="40" s="1"/>
  <c r="AK191" i="40" s="1"/>
  <c r="AJ192" i="40"/>
  <c r="L17" i="26"/>
  <c r="L25" i="26" s="1"/>
  <c r="L28" i="26" s="1"/>
  <c r="L13" i="26"/>
  <c r="M21" i="26"/>
  <c r="M6" i="26"/>
  <c r="M7" i="26" s="1"/>
  <c r="M9" i="26" s="1"/>
  <c r="M8" i="26"/>
  <c r="N5" i="26"/>
  <c r="O145" i="41" l="1"/>
  <c r="Q145" i="41" s="1"/>
  <c r="N145" i="41"/>
  <c r="M145" i="41"/>
  <c r="L145" i="41"/>
  <c r="F146" i="41"/>
  <c r="H146" i="41"/>
  <c r="I146" i="41" s="1"/>
  <c r="D147" i="41"/>
  <c r="AJ197" i="40"/>
  <c r="AJ196" i="40"/>
  <c r="AJ207" i="40"/>
  <c r="AJ208" i="40" s="1"/>
  <c r="AJ209" i="40" s="1"/>
  <c r="AN185" i="40"/>
  <c r="AI214" i="40"/>
  <c r="AI213" i="40"/>
  <c r="AK193" i="40"/>
  <c r="AK194" i="40"/>
  <c r="AK205" i="40"/>
  <c r="AK192" i="40"/>
  <c r="AL188" i="40"/>
  <c r="AK203" i="40"/>
  <c r="AK202" i="40"/>
  <c r="AK207" i="40"/>
  <c r="AK208" i="40" s="1"/>
  <c r="AL204" i="40"/>
  <c r="AM187" i="40"/>
  <c r="AN186" i="40"/>
  <c r="M17" i="26"/>
  <c r="M25" i="26" s="1"/>
  <c r="M28" i="26" s="1"/>
  <c r="M13" i="26"/>
  <c r="N21" i="26"/>
  <c r="N8" i="26"/>
  <c r="O5" i="26"/>
  <c r="N6" i="26"/>
  <c r="N7" i="26" s="1"/>
  <c r="N9" i="26" s="1"/>
  <c r="F147" i="41" l="1"/>
  <c r="H147" i="41"/>
  <c r="I147" i="41" s="1"/>
  <c r="L147" i="41"/>
  <c r="D148" i="41"/>
  <c r="O146" i="41"/>
  <c r="Q146" i="41" s="1"/>
  <c r="N146" i="41"/>
  <c r="M146" i="41"/>
  <c r="L146" i="41"/>
  <c r="AJ211" i="40"/>
  <c r="AJ216" i="40" s="1"/>
  <c r="AJ210" i="40"/>
  <c r="AJ214" i="40"/>
  <c r="AJ213" i="40"/>
  <c r="AO186" i="40"/>
  <c r="AM204" i="40"/>
  <c r="AK211" i="40"/>
  <c r="AK216" i="40" s="1"/>
  <c r="AL203" i="40"/>
  <c r="AK209" i="40"/>
  <c r="AN187" i="40"/>
  <c r="AK210" i="40"/>
  <c r="AL202" i="40"/>
  <c r="AL205" i="40"/>
  <c r="AM188" i="40"/>
  <c r="AO185" i="40"/>
  <c r="AL190" i="40"/>
  <c r="AL191" i="40" s="1"/>
  <c r="AK197" i="40"/>
  <c r="AK196" i="40"/>
  <c r="N17" i="26"/>
  <c r="N25" i="26" s="1"/>
  <c r="N28" i="26" s="1"/>
  <c r="N13" i="26"/>
  <c r="O8" i="26"/>
  <c r="O21" i="26"/>
  <c r="O6" i="26"/>
  <c r="O7" i="26" s="1"/>
  <c r="O9" i="26" s="1"/>
  <c r="P5" i="26"/>
  <c r="H148" i="41" l="1"/>
  <c r="I148" i="41" s="1"/>
  <c r="L148" i="41" s="1"/>
  <c r="D149" i="41"/>
  <c r="F148" i="41"/>
  <c r="N147" i="41"/>
  <c r="O147" i="41"/>
  <c r="Q147" i="41" s="1"/>
  <c r="M147" i="41"/>
  <c r="AL194" i="40"/>
  <c r="AL193" i="40"/>
  <c r="AM205" i="40"/>
  <c r="AM207" i="40" s="1"/>
  <c r="AM208" i="40" s="1"/>
  <c r="AN188" i="40"/>
  <c r="AO187" i="40"/>
  <c r="AN190" i="40"/>
  <c r="AN191" i="40" s="1"/>
  <c r="AM203" i="40"/>
  <c r="AM190" i="40"/>
  <c r="AM191" i="40" s="1"/>
  <c r="AM192" i="40" s="1"/>
  <c r="AP186" i="40"/>
  <c r="AP185" i="40"/>
  <c r="AM202" i="40"/>
  <c r="AN204" i="40"/>
  <c r="AL192" i="40"/>
  <c r="AK213" i="40"/>
  <c r="AK214" i="40"/>
  <c r="AL207" i="40"/>
  <c r="AL208" i="40" s="1"/>
  <c r="AL209" i="40" s="1"/>
  <c r="P6" i="26"/>
  <c r="P7" i="26" s="1"/>
  <c r="P9" i="26" s="1"/>
  <c r="Q5" i="26"/>
  <c r="P21" i="26"/>
  <c r="P8" i="26"/>
  <c r="O13" i="26"/>
  <c r="O17" i="26"/>
  <c r="O25" i="26" s="1"/>
  <c r="O28" i="26" s="1"/>
  <c r="D150" i="41" l="1"/>
  <c r="F149" i="41"/>
  <c r="H149" i="41"/>
  <c r="I149" i="41" s="1"/>
  <c r="N148" i="41"/>
  <c r="O148" i="41"/>
  <c r="Q148" i="41" s="1"/>
  <c r="M148" i="41"/>
  <c r="AM197" i="40"/>
  <c r="AM196" i="40"/>
  <c r="AL214" i="40"/>
  <c r="AL213" i="40"/>
  <c r="AL197" i="40"/>
  <c r="AL196" i="40"/>
  <c r="AL210" i="40"/>
  <c r="AL211" i="40"/>
  <c r="AM193" i="40"/>
  <c r="AM194" i="40"/>
  <c r="AN193" i="40"/>
  <c r="AN194" i="40"/>
  <c r="AM209" i="40"/>
  <c r="AQ185" i="40"/>
  <c r="AO204" i="40"/>
  <c r="AP187" i="40"/>
  <c r="AM210" i="40"/>
  <c r="AN202" i="40"/>
  <c r="AQ186" i="40"/>
  <c r="AM211" i="40"/>
  <c r="AN203" i="40"/>
  <c r="AN205" i="40"/>
  <c r="AN207" i="40" s="1"/>
  <c r="AN208" i="40" s="1"/>
  <c r="AO188" i="40"/>
  <c r="AO190" i="40" s="1"/>
  <c r="AO191" i="40" s="1"/>
  <c r="AN192" i="40"/>
  <c r="AL216" i="40"/>
  <c r="Q21" i="26"/>
  <c r="R5" i="26"/>
  <c r="Q6" i="26"/>
  <c r="Q7" i="26" s="1"/>
  <c r="Q9" i="26" s="1"/>
  <c r="P13" i="26"/>
  <c r="P17" i="26"/>
  <c r="P25" i="26" s="1"/>
  <c r="P28" i="26" s="1"/>
  <c r="O149" i="41" l="1"/>
  <c r="Q149" i="41" s="1"/>
  <c r="N149" i="41"/>
  <c r="M149" i="41"/>
  <c r="L149" i="41"/>
  <c r="F150" i="41"/>
  <c r="D151" i="41"/>
  <c r="H150" i="41"/>
  <c r="I150" i="41" s="1"/>
  <c r="AO193" i="40"/>
  <c r="AO194" i="40"/>
  <c r="AN197" i="40"/>
  <c r="AN196" i="40"/>
  <c r="AN209" i="40"/>
  <c r="AR186" i="40"/>
  <c r="AQ187" i="40"/>
  <c r="AR185" i="40"/>
  <c r="AM216" i="40"/>
  <c r="AO205" i="40"/>
  <c r="AO192" i="40"/>
  <c r="AP188" i="40"/>
  <c r="AN211" i="40"/>
  <c r="AN216" i="40" s="1"/>
  <c r="AO203" i="40"/>
  <c r="AO202" i="40"/>
  <c r="AN210" i="40"/>
  <c r="AO207" i="40"/>
  <c r="AO208" i="40" s="1"/>
  <c r="AP204" i="40"/>
  <c r="AM214" i="40"/>
  <c r="AM213" i="40"/>
  <c r="Q17" i="26"/>
  <c r="Q25" i="26" s="1"/>
  <c r="Q28" i="26" s="1"/>
  <c r="Q13" i="26"/>
  <c r="R21" i="26"/>
  <c r="S5" i="26"/>
  <c r="R6" i="26"/>
  <c r="R7" i="26" s="1"/>
  <c r="R9" i="26" s="1"/>
  <c r="N150" i="41" l="1"/>
  <c r="O150" i="41"/>
  <c r="Q150" i="41" s="1"/>
  <c r="M150" i="41"/>
  <c r="F151" i="41"/>
  <c r="H151" i="41"/>
  <c r="I151" i="41" s="1"/>
  <c r="D152" i="41"/>
  <c r="L151" i="41"/>
  <c r="L150" i="41"/>
  <c r="AP205" i="40"/>
  <c r="AQ188" i="40"/>
  <c r="AS185" i="40"/>
  <c r="AS186" i="40"/>
  <c r="AO210" i="40"/>
  <c r="AP202" i="40"/>
  <c r="AO197" i="40"/>
  <c r="AO196" i="40"/>
  <c r="AQ204" i="40"/>
  <c r="AP207" i="40"/>
  <c r="AP208" i="40" s="1"/>
  <c r="AO211" i="40"/>
  <c r="AO216" i="40" s="1"/>
  <c r="AP203" i="40"/>
  <c r="AO209" i="40"/>
  <c r="AQ190" i="40"/>
  <c r="AQ191" i="40" s="1"/>
  <c r="AR187" i="40"/>
  <c r="AN214" i="40"/>
  <c r="AN213" i="40"/>
  <c r="AP190" i="40"/>
  <c r="AP191" i="40" s="1"/>
  <c r="AP192" i="40" s="1"/>
  <c r="S21" i="26"/>
  <c r="S6" i="26"/>
  <c r="S7" i="26" s="1"/>
  <c r="S9" i="26" s="1"/>
  <c r="T5" i="26"/>
  <c r="R17" i="26"/>
  <c r="R25" i="26" s="1"/>
  <c r="R28" i="26" s="1"/>
  <c r="R13" i="26"/>
  <c r="H152" i="41" l="1"/>
  <c r="I152" i="41" s="1"/>
  <c r="L152" i="41" s="1"/>
  <c r="D153" i="41"/>
  <c r="F152" i="41"/>
  <c r="M151" i="41"/>
  <c r="N151" i="41"/>
  <c r="O151" i="41"/>
  <c r="Q151" i="41" s="1"/>
  <c r="AP197" i="40"/>
  <c r="AP196" i="40"/>
  <c r="AO214" i="40"/>
  <c r="AO213" i="40"/>
  <c r="AR204" i="40"/>
  <c r="AP211" i="40"/>
  <c r="AQ203" i="40"/>
  <c r="AP193" i="40"/>
  <c r="AP194" i="40"/>
  <c r="AS187" i="40"/>
  <c r="AT186" i="40"/>
  <c r="AQ205" i="40"/>
  <c r="AQ192" i="40"/>
  <c r="AR188" i="40"/>
  <c r="AR190" i="40" s="1"/>
  <c r="AR191" i="40" s="1"/>
  <c r="AQ194" i="40"/>
  <c r="AQ193" i="40"/>
  <c r="AP210" i="40"/>
  <c r="AQ202" i="40"/>
  <c r="AT185" i="40"/>
  <c r="AP209" i="40"/>
  <c r="T6" i="26"/>
  <c r="T7" i="26" s="1"/>
  <c r="T9" i="26" s="1"/>
  <c r="U5" i="26"/>
  <c r="T21" i="26"/>
  <c r="S17" i="26"/>
  <c r="S25" i="26" s="1"/>
  <c r="S28" i="26" s="1"/>
  <c r="S13" i="26"/>
  <c r="D154" i="41" l="1"/>
  <c r="H153" i="41"/>
  <c r="I153" i="41" s="1"/>
  <c r="F153" i="41"/>
  <c r="N152" i="41"/>
  <c r="O152" i="41"/>
  <c r="Q152" i="41" s="1"/>
  <c r="M152" i="41"/>
  <c r="AR194" i="40"/>
  <c r="AR193" i="40"/>
  <c r="AP214" i="40"/>
  <c r="AP213" i="40"/>
  <c r="AQ197" i="40"/>
  <c r="AQ196" i="40"/>
  <c r="AR203" i="40"/>
  <c r="AU185" i="40"/>
  <c r="AT187" i="40"/>
  <c r="AU186" i="40"/>
  <c r="AP216" i="40"/>
  <c r="AQ207" i="40"/>
  <c r="AQ208" i="40" s="1"/>
  <c r="AQ211" i="40" s="1"/>
  <c r="AQ216" i="40" s="1"/>
  <c r="AR202" i="40"/>
  <c r="AR205" i="40"/>
  <c r="AR207" i="40" s="1"/>
  <c r="AR208" i="40" s="1"/>
  <c r="AS188" i="40"/>
  <c r="AR192" i="40"/>
  <c r="AS204" i="40"/>
  <c r="U21" i="26"/>
  <c r="V5" i="26"/>
  <c r="U6" i="26"/>
  <c r="U7" i="26" s="1"/>
  <c r="U9" i="26" s="1"/>
  <c r="T17" i="26"/>
  <c r="T25" i="26" s="1"/>
  <c r="T28" i="26" s="1"/>
  <c r="T13" i="26"/>
  <c r="O153" i="41" l="1"/>
  <c r="Q153" i="41" s="1"/>
  <c r="N153" i="41"/>
  <c r="M153" i="41"/>
  <c r="L153" i="41"/>
  <c r="F154" i="41"/>
  <c r="H154" i="41"/>
  <c r="I154" i="41" s="1"/>
  <c r="D155" i="41"/>
  <c r="AQ210" i="40"/>
  <c r="AT204" i="40"/>
  <c r="AR210" i="40"/>
  <c r="AS202" i="40"/>
  <c r="AU187" i="40"/>
  <c r="AR211" i="40"/>
  <c r="AS203" i="40"/>
  <c r="AR197" i="40"/>
  <c r="AR196" i="40"/>
  <c r="AV186" i="40"/>
  <c r="AQ209" i="40"/>
  <c r="AS205" i="40"/>
  <c r="AT188" i="40"/>
  <c r="AV185" i="40"/>
  <c r="AR209" i="40"/>
  <c r="AS190" i="40"/>
  <c r="AS191" i="40" s="1"/>
  <c r="AS192" i="40" s="1"/>
  <c r="AR216" i="40"/>
  <c r="U13" i="26"/>
  <c r="U17" i="26"/>
  <c r="U25" i="26" s="1"/>
  <c r="U28" i="26" s="1"/>
  <c r="V6" i="26"/>
  <c r="V7" i="26" s="1"/>
  <c r="V9" i="26" s="1"/>
  <c r="V21" i="26"/>
  <c r="W5" i="26"/>
  <c r="F155" i="41" l="1"/>
  <c r="H155" i="41"/>
  <c r="I155" i="41" s="1"/>
  <c r="L155" i="41" s="1"/>
  <c r="D156" i="41"/>
  <c r="N154" i="41"/>
  <c r="O154" i="41"/>
  <c r="Q154" i="41" s="1"/>
  <c r="M154" i="41"/>
  <c r="L154" i="41"/>
  <c r="AS194" i="40"/>
  <c r="AS193" i="40"/>
  <c r="AT205" i="40"/>
  <c r="AT207" i="40" s="1"/>
  <c r="AT208" i="40" s="1"/>
  <c r="AU188" i="40"/>
  <c r="AW186" i="40"/>
  <c r="AT203" i="40"/>
  <c r="AT202" i="40"/>
  <c r="AS197" i="40"/>
  <c r="AS196" i="40"/>
  <c r="AW185" i="40"/>
  <c r="AU190" i="40"/>
  <c r="AU191" i="40" s="1"/>
  <c r="AV187" i="40"/>
  <c r="AU204" i="40"/>
  <c r="AR214" i="40"/>
  <c r="AR213" i="40"/>
  <c r="AQ214" i="40"/>
  <c r="AQ213" i="40"/>
  <c r="AT190" i="40"/>
  <c r="AT191" i="40" s="1"/>
  <c r="AS207" i="40"/>
  <c r="AS208" i="40" s="1"/>
  <c r="AS210" i="40" s="1"/>
  <c r="V17" i="26"/>
  <c r="V25" i="26" s="1"/>
  <c r="V28" i="26" s="1"/>
  <c r="V13" i="26"/>
  <c r="W6" i="26"/>
  <c r="W7" i="26" s="1"/>
  <c r="W9" i="26" s="1"/>
  <c r="W21" i="26"/>
  <c r="X5" i="26"/>
  <c r="H156" i="41" l="1"/>
  <c r="I156" i="41" s="1"/>
  <c r="L156" i="41" s="1"/>
  <c r="D157" i="41"/>
  <c r="F156" i="41"/>
  <c r="N155" i="41"/>
  <c r="O155" i="41"/>
  <c r="Q155" i="41" s="1"/>
  <c r="M155" i="41"/>
  <c r="AV204" i="40"/>
  <c r="AS209" i="40"/>
  <c r="AS211" i="40"/>
  <c r="AU192" i="40"/>
  <c r="AV188" i="40"/>
  <c r="AU205" i="40"/>
  <c r="AT210" i="40"/>
  <c r="AU202" i="40"/>
  <c r="AT209" i="40"/>
  <c r="AV190" i="40"/>
  <c r="AV191" i="40" s="1"/>
  <c r="AW187" i="40"/>
  <c r="AX185" i="40"/>
  <c r="AX186" i="40"/>
  <c r="AT193" i="40"/>
  <c r="AT194" i="40"/>
  <c r="AU193" i="40"/>
  <c r="AU194" i="40"/>
  <c r="AT211" i="40"/>
  <c r="AU203" i="40"/>
  <c r="AT192" i="40"/>
  <c r="AS216" i="40"/>
  <c r="W17" i="26"/>
  <c r="W25" i="26" s="1"/>
  <c r="W28" i="26" s="1"/>
  <c r="W13" i="26"/>
  <c r="X21" i="26"/>
  <c r="X6" i="26"/>
  <c r="X7" i="26" s="1"/>
  <c r="X9" i="26" s="1"/>
  <c r="Y5" i="26"/>
  <c r="D158" i="41" l="1"/>
  <c r="F157" i="41"/>
  <c r="H157" i="41"/>
  <c r="I157" i="41" s="1"/>
  <c r="N156" i="41"/>
  <c r="O156" i="41"/>
  <c r="Q156" i="41" s="1"/>
  <c r="M156" i="41"/>
  <c r="AT216" i="40"/>
  <c r="AY186" i="40"/>
  <c r="AX187" i="40"/>
  <c r="AT197" i="40"/>
  <c r="AT196" i="40"/>
  <c r="AV194" i="40"/>
  <c r="AV193" i="40"/>
  <c r="AS214" i="40"/>
  <c r="AS213" i="40"/>
  <c r="AY185" i="40"/>
  <c r="AT214" i="40"/>
  <c r="AT213" i="40"/>
  <c r="AV205" i="40"/>
  <c r="AV207" i="40" s="1"/>
  <c r="AV208" i="40" s="1"/>
  <c r="AW188" i="40"/>
  <c r="AV192" i="40"/>
  <c r="AU207" i="40"/>
  <c r="AU208" i="40" s="1"/>
  <c r="AU211" i="40" s="1"/>
  <c r="AU216" i="40" s="1"/>
  <c r="AV203" i="40"/>
  <c r="AV202" i="40"/>
  <c r="AU197" i="40"/>
  <c r="AU196" i="40"/>
  <c r="AW204" i="40"/>
  <c r="X17" i="26"/>
  <c r="X25" i="26" s="1"/>
  <c r="X28" i="26" s="1"/>
  <c r="X13" i="26"/>
  <c r="Y21" i="26"/>
  <c r="Z5" i="26"/>
  <c r="Y6" i="26"/>
  <c r="Y7" i="26" s="1"/>
  <c r="Y9" i="26" s="1"/>
  <c r="O157" i="41" l="1"/>
  <c r="Q157" i="41" s="1"/>
  <c r="N157" i="41"/>
  <c r="M157" i="41"/>
  <c r="L157" i="41"/>
  <c r="F158" i="41"/>
  <c r="D159" i="41"/>
  <c r="H158" i="41"/>
  <c r="I158" i="41" s="1"/>
  <c r="AU210" i="40"/>
  <c r="AX204" i="40"/>
  <c r="AV210" i="40"/>
  <c r="AW202" i="40"/>
  <c r="AY187" i="40"/>
  <c r="AW203" i="40"/>
  <c r="AV211" i="40"/>
  <c r="AV216" i="40" s="1"/>
  <c r="AW205" i="40"/>
  <c r="AX188" i="40"/>
  <c r="AZ185" i="40"/>
  <c r="AU209" i="40"/>
  <c r="AZ186" i="40"/>
  <c r="AV197" i="40"/>
  <c r="AV196" i="40"/>
  <c r="AV209" i="40"/>
  <c r="AW190" i="40"/>
  <c r="AW191" i="40" s="1"/>
  <c r="AW192" i="40" s="1"/>
  <c r="Z21" i="26"/>
  <c r="Z6" i="26"/>
  <c r="Z7" i="26" s="1"/>
  <c r="Z9" i="26" s="1"/>
  <c r="AA5" i="26"/>
  <c r="Y17" i="26"/>
  <c r="Y25" i="26" s="1"/>
  <c r="Y28" i="26" s="1"/>
  <c r="Y13" i="26"/>
  <c r="N158" i="41" l="1"/>
  <c r="O158" i="41"/>
  <c r="Q158" i="41" s="1"/>
  <c r="M158" i="41"/>
  <c r="F159" i="41"/>
  <c r="H159" i="41"/>
  <c r="I159" i="41" s="1"/>
  <c r="L159" i="41"/>
  <c r="D160" i="41"/>
  <c r="L158" i="41"/>
  <c r="AV213" i="40"/>
  <c r="AV214" i="40"/>
  <c r="AX205" i="40"/>
  <c r="AY188" i="40"/>
  <c r="AX203" i="40"/>
  <c r="AX202" i="40"/>
  <c r="AU214" i="40"/>
  <c r="AU213" i="40"/>
  <c r="AW197" i="40"/>
  <c r="AW196" i="40"/>
  <c r="AY190" i="40"/>
  <c r="AY191" i="40" s="1"/>
  <c r="AZ187" i="40"/>
  <c r="BA185" i="40"/>
  <c r="AX190" i="40"/>
  <c r="AX191" i="40" s="1"/>
  <c r="AY204" i="40"/>
  <c r="AX207" i="40"/>
  <c r="AX208" i="40" s="1"/>
  <c r="AW193" i="40"/>
  <c r="AW194" i="40"/>
  <c r="BA186" i="40"/>
  <c r="AW207" i="40"/>
  <c r="AW208" i="40" s="1"/>
  <c r="AW211" i="40" s="1"/>
  <c r="AA6" i="26"/>
  <c r="AA7" i="26" s="1"/>
  <c r="AA9" i="26" s="1"/>
  <c r="AA21" i="26"/>
  <c r="AB5" i="26"/>
  <c r="Z17" i="26"/>
  <c r="Z25" i="26" s="1"/>
  <c r="Z28" i="26" s="1"/>
  <c r="Z13" i="26"/>
  <c r="H160" i="41" l="1"/>
  <c r="I160" i="41" s="1"/>
  <c r="L160" i="41" s="1"/>
  <c r="D161" i="41"/>
  <c r="F160" i="41"/>
  <c r="M159" i="41"/>
  <c r="N159" i="41"/>
  <c r="O159" i="41"/>
  <c r="Q159" i="41" s="1"/>
  <c r="BB186" i="40"/>
  <c r="AZ204" i="40"/>
  <c r="AW210" i="40"/>
  <c r="AY205" i="40"/>
  <c r="AY207" i="40" s="1"/>
  <c r="AY208" i="40" s="1"/>
  <c r="AY192" i="40"/>
  <c r="AZ188" i="40"/>
  <c r="AZ190" i="40" s="1"/>
  <c r="AZ191" i="40" s="1"/>
  <c r="AX193" i="40"/>
  <c r="AX194" i="40"/>
  <c r="BA187" i="40"/>
  <c r="AX211" i="40"/>
  <c r="AY203" i="40"/>
  <c r="AX209" i="40"/>
  <c r="AW209" i="40"/>
  <c r="AY193" i="40"/>
  <c r="AY194" i="40"/>
  <c r="AW216" i="40"/>
  <c r="BB185" i="40"/>
  <c r="AX210" i="40"/>
  <c r="AY202" i="40"/>
  <c r="AX192" i="40"/>
  <c r="AB6" i="26"/>
  <c r="AB7" i="26" s="1"/>
  <c r="AB9" i="26" s="1"/>
  <c r="AC5" i="26"/>
  <c r="AB21" i="26"/>
  <c r="AA13" i="26"/>
  <c r="AA17" i="26"/>
  <c r="AA25" i="26" s="1"/>
  <c r="AA28" i="26" s="1"/>
  <c r="D162" i="41" l="1"/>
  <c r="H161" i="41"/>
  <c r="I161" i="41" s="1"/>
  <c r="F161" i="41"/>
  <c r="N160" i="41"/>
  <c r="O160" i="41"/>
  <c r="Q160" i="41" s="1"/>
  <c r="M160" i="41"/>
  <c r="AX216" i="40"/>
  <c r="AX197" i="40"/>
  <c r="AX196" i="40"/>
  <c r="AW214" i="40"/>
  <c r="AW213" i="40"/>
  <c r="BB187" i="40"/>
  <c r="AZ205" i="40"/>
  <c r="BA188" i="40"/>
  <c r="AZ192" i="40"/>
  <c r="AY210" i="40"/>
  <c r="AZ202" i="40"/>
  <c r="AX214" i="40"/>
  <c r="AX213" i="40"/>
  <c r="AZ194" i="40"/>
  <c r="AZ193" i="40"/>
  <c r="AY197" i="40"/>
  <c r="AY196" i="40"/>
  <c r="AZ207" i="40"/>
  <c r="AZ208" i="40" s="1"/>
  <c r="BA204" i="40"/>
  <c r="AY211" i="40"/>
  <c r="AY216" i="40" s="1"/>
  <c r="AZ203" i="40"/>
  <c r="AY209" i="40"/>
  <c r="BC186" i="40"/>
  <c r="BC185" i="40"/>
  <c r="AC21" i="26"/>
  <c r="AC6" i="26"/>
  <c r="AC7" i="26" s="1"/>
  <c r="AC9" i="26" s="1"/>
  <c r="AD5" i="26"/>
  <c r="AB17" i="26"/>
  <c r="AB25" i="26" s="1"/>
  <c r="AB28" i="26" s="1"/>
  <c r="AB13" i="26"/>
  <c r="O161" i="41" l="1"/>
  <c r="Q161" i="41" s="1"/>
  <c r="N161" i="41"/>
  <c r="M161" i="41"/>
  <c r="L161" i="41"/>
  <c r="F162" i="41"/>
  <c r="H162" i="41"/>
  <c r="I162" i="41" s="1"/>
  <c r="D163" i="41"/>
  <c r="BD185" i="40"/>
  <c r="BD186" i="40"/>
  <c r="BA205" i="40"/>
  <c r="BB188" i="40"/>
  <c r="AY214" i="40"/>
  <c r="AY213" i="40"/>
  <c r="BA207" i="40"/>
  <c r="BA208" i="40" s="1"/>
  <c r="BB204" i="40"/>
  <c r="AZ210" i="40"/>
  <c r="BA202" i="40"/>
  <c r="AZ209" i="40"/>
  <c r="AZ211" i="40"/>
  <c r="AZ216" i="40" s="1"/>
  <c r="BA203" i="40"/>
  <c r="BA190" i="40"/>
  <c r="BA191" i="40" s="1"/>
  <c r="AZ197" i="40"/>
  <c r="AZ196" i="40"/>
  <c r="BC187" i="40"/>
  <c r="AD21" i="26"/>
  <c r="AE5" i="26"/>
  <c r="AD6" i="26"/>
  <c r="AD7" i="26" s="1"/>
  <c r="AD9" i="26" s="1"/>
  <c r="AC13" i="26"/>
  <c r="AC17" i="26"/>
  <c r="AC25" i="26" s="1"/>
  <c r="AC28" i="26" s="1"/>
  <c r="F163" i="41" l="1"/>
  <c r="H163" i="41"/>
  <c r="I163" i="41" s="1"/>
  <c r="D164" i="41"/>
  <c r="O162" i="41"/>
  <c r="Q162" i="41" s="1"/>
  <c r="N162" i="41"/>
  <c r="M162" i="41"/>
  <c r="L162" i="41"/>
  <c r="BA211" i="40"/>
  <c r="BB203" i="40"/>
  <c r="BE186" i="40"/>
  <c r="BC204" i="40"/>
  <c r="BB205" i="40"/>
  <c r="BC188" i="40"/>
  <c r="BD187" i="40"/>
  <c r="BA194" i="40"/>
  <c r="BA216" i="40" s="1"/>
  <c r="BA193" i="40"/>
  <c r="AZ214" i="40"/>
  <c r="AZ213" i="40"/>
  <c r="BA192" i="40"/>
  <c r="BE185" i="40"/>
  <c r="BB190" i="40"/>
  <c r="BB191" i="40" s="1"/>
  <c r="BA210" i="40"/>
  <c r="BB202" i="40"/>
  <c r="BA209" i="40"/>
  <c r="AD17" i="26"/>
  <c r="AD25" i="26" s="1"/>
  <c r="AD28" i="26" s="1"/>
  <c r="AD13" i="26"/>
  <c r="AF5" i="26"/>
  <c r="AE21" i="26"/>
  <c r="AE6" i="26"/>
  <c r="AE7" i="26" s="1"/>
  <c r="AE9" i="26" s="1"/>
  <c r="D165" i="41" l="1"/>
  <c r="H164" i="41"/>
  <c r="I164" i="41" s="1"/>
  <c r="L164" i="41" s="1"/>
  <c r="F164" i="41"/>
  <c r="M163" i="41"/>
  <c r="N163" i="41"/>
  <c r="O163" i="41"/>
  <c r="Q163" i="41" s="1"/>
  <c r="L163" i="41"/>
  <c r="BA196" i="40"/>
  <c r="BA197" i="40"/>
  <c r="BC205" i="40"/>
  <c r="BD188" i="40"/>
  <c r="BB194" i="40"/>
  <c r="BB193" i="40"/>
  <c r="BE187" i="40"/>
  <c r="BD190" i="40"/>
  <c r="BD191" i="40" s="1"/>
  <c r="BF186" i="40"/>
  <c r="BA213" i="40"/>
  <c r="BA214" i="40"/>
  <c r="BC190" i="40"/>
  <c r="BC191" i="40" s="1"/>
  <c r="BD204" i="40"/>
  <c r="BC207" i="40"/>
  <c r="BC208" i="40" s="1"/>
  <c r="BC203" i="40"/>
  <c r="BC202" i="40"/>
  <c r="BF185" i="40"/>
  <c r="BB192" i="40"/>
  <c r="BB207" i="40"/>
  <c r="BB208" i="40" s="1"/>
  <c r="BB209" i="40" s="1"/>
  <c r="AF6" i="26"/>
  <c r="AF7" i="26" s="1"/>
  <c r="AF9" i="26" s="1"/>
  <c r="AG5" i="26"/>
  <c r="AF21" i="26"/>
  <c r="AE13" i="26"/>
  <c r="AE17" i="26"/>
  <c r="AE25" i="26" s="1"/>
  <c r="AE28" i="26" s="1"/>
  <c r="O164" i="41" l="1"/>
  <c r="Q164" i="41" s="1"/>
  <c r="N164" i="41"/>
  <c r="M164" i="41"/>
  <c r="F165" i="41"/>
  <c r="D166" i="41"/>
  <c r="H165" i="41"/>
  <c r="I165" i="41" s="1"/>
  <c r="L165" i="41" s="1"/>
  <c r="BB214" i="40"/>
  <c r="BB213" i="40"/>
  <c r="BC210" i="40"/>
  <c r="BD202" i="40"/>
  <c r="BB197" i="40"/>
  <c r="BB196" i="40"/>
  <c r="BB210" i="40"/>
  <c r="BE204" i="40"/>
  <c r="BF187" i="40"/>
  <c r="BC209" i="40"/>
  <c r="BC211" i="40"/>
  <c r="BD203" i="40"/>
  <c r="BC193" i="40"/>
  <c r="BC194" i="40"/>
  <c r="BC192" i="40"/>
  <c r="BB211" i="40"/>
  <c r="BB216" i="40" s="1"/>
  <c r="BD193" i="40"/>
  <c r="BD194" i="40"/>
  <c r="BD205" i="40"/>
  <c r="BE188" i="40"/>
  <c r="BD192" i="40"/>
  <c r="AG21" i="26"/>
  <c r="AH5" i="26"/>
  <c r="AG6" i="26"/>
  <c r="AG7" i="26" s="1"/>
  <c r="AG9" i="26" s="1"/>
  <c r="AF13" i="26"/>
  <c r="AF17" i="26"/>
  <c r="AF25" i="26" s="1"/>
  <c r="AF28" i="26" s="1"/>
  <c r="N165" i="41" l="1"/>
  <c r="O165" i="41"/>
  <c r="Q165" i="41" s="1"/>
  <c r="M165" i="41"/>
  <c r="F166" i="41"/>
  <c r="H166" i="41"/>
  <c r="I166" i="41" s="1"/>
  <c r="D167" i="41"/>
  <c r="L166" i="41"/>
  <c r="BD197" i="40"/>
  <c r="BD196" i="40"/>
  <c r="BE203" i="40"/>
  <c r="BC196" i="40"/>
  <c r="BC197" i="40"/>
  <c r="BC216" i="40"/>
  <c r="BC214" i="40"/>
  <c r="BC213" i="40"/>
  <c r="BF204" i="40"/>
  <c r="BE205" i="40"/>
  <c r="BE207" i="40" s="1"/>
  <c r="BE208" i="40" s="1"/>
  <c r="BF188" i="40"/>
  <c r="BF190" i="40" s="1"/>
  <c r="BF191" i="40" s="1"/>
  <c r="BE190" i="40"/>
  <c r="BE191" i="40" s="1"/>
  <c r="BE192" i="40" s="1"/>
  <c r="BD207" i="40"/>
  <c r="BD208" i="40" s="1"/>
  <c r="BD210" i="40" s="1"/>
  <c r="BE202" i="40"/>
  <c r="AG17" i="26"/>
  <c r="AG25" i="26" s="1"/>
  <c r="AG28" i="26" s="1"/>
  <c r="AG13" i="26"/>
  <c r="AI5" i="26"/>
  <c r="AH21" i="26"/>
  <c r="AH6" i="26"/>
  <c r="AH7" i="26" s="1"/>
  <c r="AH9" i="26" s="1"/>
  <c r="H167" i="41" l="1"/>
  <c r="I167" i="41" s="1"/>
  <c r="L167" i="41" s="1"/>
  <c r="D168" i="41"/>
  <c r="F167" i="41"/>
  <c r="N166" i="41"/>
  <c r="O166" i="41"/>
  <c r="Q166" i="41" s="1"/>
  <c r="M166" i="41"/>
  <c r="BE197" i="40"/>
  <c r="BE196" i="40"/>
  <c r="BF193" i="40"/>
  <c r="BF194" i="40"/>
  <c r="BE210" i="40"/>
  <c r="BF202" i="40"/>
  <c r="BD211" i="40"/>
  <c r="BD216" i="40" s="1"/>
  <c r="BE209" i="40"/>
  <c r="BD209" i="40"/>
  <c r="BE193" i="40"/>
  <c r="BE194" i="40"/>
  <c r="BF205" i="40"/>
  <c r="BF192" i="40"/>
  <c r="BF207" i="40"/>
  <c r="BF208" i="40" s="1"/>
  <c r="BE211" i="40"/>
  <c r="BF203" i="40"/>
  <c r="AI21" i="26"/>
  <c r="AI6" i="26"/>
  <c r="AI7" i="26" s="1"/>
  <c r="AI9" i="26" s="1"/>
  <c r="AJ5" i="26"/>
  <c r="AH17" i="26"/>
  <c r="AH25" i="26" s="1"/>
  <c r="AH28" i="26" s="1"/>
  <c r="AH13" i="26"/>
  <c r="D169" i="41" l="1"/>
  <c r="H168" i="41"/>
  <c r="I168" i="41" s="1"/>
  <c r="F168" i="41"/>
  <c r="N167" i="41"/>
  <c r="O167" i="41"/>
  <c r="Q167" i="41" s="1"/>
  <c r="M167" i="41"/>
  <c r="BE216" i="40"/>
  <c r="BF211" i="40"/>
  <c r="BF209" i="40"/>
  <c r="BE214" i="40"/>
  <c r="BE213" i="40"/>
  <c r="BF216" i="40"/>
  <c r="BF210" i="40"/>
  <c r="BF197" i="40"/>
  <c r="BF196" i="40"/>
  <c r="BD214" i="40"/>
  <c r="BD213" i="40"/>
  <c r="AJ6" i="26"/>
  <c r="AJ7" i="26" s="1"/>
  <c r="AJ9" i="26" s="1"/>
  <c r="AK5" i="26"/>
  <c r="AJ21" i="26"/>
  <c r="AI13" i="26"/>
  <c r="AI17" i="26"/>
  <c r="AI25" i="26" s="1"/>
  <c r="AI28" i="26" s="1"/>
  <c r="O168" i="41" l="1"/>
  <c r="Q168" i="41" s="1"/>
  <c r="N168" i="41"/>
  <c r="M168" i="41"/>
  <c r="L168" i="41"/>
  <c r="F169" i="41"/>
  <c r="H169" i="41"/>
  <c r="I169" i="41" s="1"/>
  <c r="D170" i="41"/>
  <c r="BF214" i="40"/>
  <c r="BF213" i="40"/>
  <c r="AK21" i="26"/>
  <c r="AK6" i="26"/>
  <c r="AK7" i="26" s="1"/>
  <c r="AK9" i="26" s="1"/>
  <c r="AL5" i="26"/>
  <c r="AJ13" i="26"/>
  <c r="AJ17" i="26"/>
  <c r="AJ25" i="26" s="1"/>
  <c r="AJ28" i="26" s="1"/>
  <c r="F170" i="41" l="1"/>
  <c r="H170" i="41"/>
  <c r="I170" i="41" s="1"/>
  <c r="L170" i="41" s="1"/>
  <c r="D171" i="41"/>
  <c r="O169" i="41"/>
  <c r="Q169" i="41" s="1"/>
  <c r="N169" i="41"/>
  <c r="M169" i="41"/>
  <c r="L169" i="41"/>
  <c r="AL6" i="26"/>
  <c r="AL7" i="26" s="1"/>
  <c r="AL9" i="26" s="1"/>
  <c r="AL21" i="26"/>
  <c r="AM5" i="26"/>
  <c r="AK13" i="26"/>
  <c r="AK17" i="26"/>
  <c r="AK25" i="26" s="1"/>
  <c r="AK28" i="26" s="1"/>
  <c r="H171" i="41" l="1"/>
  <c r="I171" i="41" s="1"/>
  <c r="D172" i="41"/>
  <c r="L171" i="41"/>
  <c r="F171" i="41"/>
  <c r="N170" i="41"/>
  <c r="O170" i="41"/>
  <c r="Q170" i="41" s="1"/>
  <c r="M170" i="41"/>
  <c r="AM6" i="26"/>
  <c r="AM7" i="26" s="1"/>
  <c r="AM9" i="26" s="1"/>
  <c r="AM21" i="26"/>
  <c r="AN5" i="26"/>
  <c r="AL17" i="26"/>
  <c r="AL25" i="26" s="1"/>
  <c r="AL28" i="26" s="1"/>
  <c r="AL13" i="26"/>
  <c r="D173" i="41" l="1"/>
  <c r="F172" i="41"/>
  <c r="H172" i="41"/>
  <c r="I172" i="41" s="1"/>
  <c r="N171" i="41"/>
  <c r="O171" i="41"/>
  <c r="Q171" i="41" s="1"/>
  <c r="M171" i="41"/>
  <c r="AN21" i="26"/>
  <c r="AN6" i="26"/>
  <c r="AN7" i="26" s="1"/>
  <c r="AN9" i="26" s="1"/>
  <c r="AO5" i="26"/>
  <c r="AM13" i="26"/>
  <c r="AM17" i="26"/>
  <c r="AM25" i="26" s="1"/>
  <c r="AM28" i="26" s="1"/>
  <c r="O172" i="41" l="1"/>
  <c r="Q172" i="41" s="1"/>
  <c r="N172" i="41"/>
  <c r="M172" i="41"/>
  <c r="L172" i="41"/>
  <c r="F173" i="41"/>
  <c r="D174" i="41"/>
  <c r="H173" i="41"/>
  <c r="I173" i="41" s="1"/>
  <c r="AO21" i="26"/>
  <c r="AP5" i="26"/>
  <c r="AO6" i="26"/>
  <c r="AO7" i="26" s="1"/>
  <c r="AO9" i="26" s="1"/>
  <c r="AN17" i="26"/>
  <c r="AN25" i="26" s="1"/>
  <c r="AN28" i="26" s="1"/>
  <c r="AN13" i="26"/>
  <c r="N173" i="41" l="1"/>
  <c r="O173" i="41"/>
  <c r="Q173" i="41" s="1"/>
  <c r="M173" i="41"/>
  <c r="F174" i="41"/>
  <c r="H174" i="41"/>
  <c r="I174" i="41" s="1"/>
  <c r="D175" i="41"/>
  <c r="L174" i="41"/>
  <c r="L173" i="41"/>
  <c r="AO17" i="26"/>
  <c r="AO25" i="26" s="1"/>
  <c r="AO28" i="26" s="1"/>
  <c r="AO13" i="26"/>
  <c r="AQ5" i="26"/>
  <c r="AP6" i="26"/>
  <c r="AP7" i="26" s="1"/>
  <c r="AP9" i="26" s="1"/>
  <c r="AP21" i="26"/>
  <c r="H175" i="41" l="1"/>
  <c r="I175" i="41" s="1"/>
  <c r="L175" i="41" s="1"/>
  <c r="D176" i="41"/>
  <c r="F175" i="41"/>
  <c r="N174" i="41"/>
  <c r="O174" i="41"/>
  <c r="Q174" i="41" s="1"/>
  <c r="M174" i="41"/>
  <c r="AP17" i="26"/>
  <c r="AP25" i="26" s="1"/>
  <c r="AP28" i="26" s="1"/>
  <c r="AP13" i="26"/>
  <c r="AQ6" i="26"/>
  <c r="AQ7" i="26" s="1"/>
  <c r="AQ9" i="26" s="1"/>
  <c r="AQ21" i="26"/>
  <c r="AR5" i="26"/>
  <c r="D177" i="41" l="1"/>
  <c r="H176" i="41"/>
  <c r="I176" i="41" s="1"/>
  <c r="F176" i="41"/>
  <c r="N175" i="41"/>
  <c r="O175" i="41"/>
  <c r="Q175" i="41" s="1"/>
  <c r="M175" i="41"/>
  <c r="AQ13" i="26"/>
  <c r="AQ17" i="26"/>
  <c r="AQ25" i="26" s="1"/>
  <c r="AQ28" i="26" s="1"/>
  <c r="AR6" i="26"/>
  <c r="AR7" i="26" s="1"/>
  <c r="AR9" i="26" s="1"/>
  <c r="AS5" i="26"/>
  <c r="AR21" i="26"/>
  <c r="O176" i="41" l="1"/>
  <c r="Q176" i="41" s="1"/>
  <c r="N176" i="41"/>
  <c r="M176" i="41"/>
  <c r="L176" i="41"/>
  <c r="F177" i="41"/>
  <c r="H177" i="41"/>
  <c r="I177" i="41" s="1"/>
  <c r="D178" i="41"/>
  <c r="AS21" i="26"/>
  <c r="AS6" i="26"/>
  <c r="AS7" i="26" s="1"/>
  <c r="AS9" i="26" s="1"/>
  <c r="AT5" i="26"/>
  <c r="AR17" i="26"/>
  <c r="AR25" i="26" s="1"/>
  <c r="AR28" i="26" s="1"/>
  <c r="AR13" i="26"/>
  <c r="F178" i="41" l="1"/>
  <c r="H178" i="41"/>
  <c r="I178" i="41" s="1"/>
  <c r="L178" i="41"/>
  <c r="D179" i="41"/>
  <c r="O177" i="41"/>
  <c r="Q177" i="41" s="1"/>
  <c r="N177" i="41"/>
  <c r="M177" i="41"/>
  <c r="L177" i="41"/>
  <c r="AT21" i="26"/>
  <c r="AT6" i="26"/>
  <c r="AT7" i="26" s="1"/>
  <c r="AT9" i="26" s="1"/>
  <c r="AU5" i="26"/>
  <c r="AS17" i="26"/>
  <c r="AS25" i="26" s="1"/>
  <c r="AS28" i="26" s="1"/>
  <c r="AS13" i="26"/>
  <c r="H179" i="41" l="1"/>
  <c r="I179" i="41" s="1"/>
  <c r="D180" i="41"/>
  <c r="L179" i="41"/>
  <c r="F179" i="41"/>
  <c r="N178" i="41"/>
  <c r="O178" i="41"/>
  <c r="Q178" i="41" s="1"/>
  <c r="M178" i="41"/>
  <c r="AU21" i="26"/>
  <c r="AU6" i="26"/>
  <c r="AU7" i="26" s="1"/>
  <c r="AU9" i="26" s="1"/>
  <c r="AV5" i="26"/>
  <c r="AT17" i="26"/>
  <c r="AT25" i="26" s="1"/>
  <c r="AT28" i="26" s="1"/>
  <c r="AT13" i="26"/>
  <c r="D181" i="41" l="1"/>
  <c r="F180" i="41"/>
  <c r="H180" i="41"/>
  <c r="I180" i="41" s="1"/>
  <c r="N179" i="41"/>
  <c r="O179" i="41"/>
  <c r="Q179" i="41" s="1"/>
  <c r="M179" i="41"/>
  <c r="AV6" i="26"/>
  <c r="AV7" i="26" s="1"/>
  <c r="AV9" i="26" s="1"/>
  <c r="AW5" i="26"/>
  <c r="AV21" i="26"/>
  <c r="AU13" i="26"/>
  <c r="AU17" i="26"/>
  <c r="AU25" i="26" s="1"/>
  <c r="AU28" i="26" s="1"/>
  <c r="O180" i="41" l="1"/>
  <c r="Q180" i="41" s="1"/>
  <c r="N180" i="41"/>
  <c r="M180" i="41"/>
  <c r="L180" i="41"/>
  <c r="F181" i="41"/>
  <c r="D182" i="41"/>
  <c r="H181" i="41"/>
  <c r="I181" i="41" s="1"/>
  <c r="AW21" i="26"/>
  <c r="AX5" i="26"/>
  <c r="AW6" i="26"/>
  <c r="AW7" i="26" s="1"/>
  <c r="AW9" i="26" s="1"/>
  <c r="AV13" i="26"/>
  <c r="AV17" i="26"/>
  <c r="AV25" i="26" s="1"/>
  <c r="AV28" i="26" s="1"/>
  <c r="N181" i="41" l="1"/>
  <c r="O181" i="41"/>
  <c r="Q181" i="41" s="1"/>
  <c r="M181" i="41"/>
  <c r="F182" i="41"/>
  <c r="H182" i="41"/>
  <c r="I182" i="41" s="1"/>
  <c r="D183" i="41"/>
  <c r="L182" i="41"/>
  <c r="L181" i="41"/>
  <c r="AW17" i="26"/>
  <c r="AW25" i="26" s="1"/>
  <c r="AW28" i="26" s="1"/>
  <c r="AW13" i="26"/>
  <c r="AX21" i="26"/>
  <c r="AY5" i="26"/>
  <c r="AX6" i="26"/>
  <c r="AX7" i="26" s="1"/>
  <c r="AX9" i="26" s="1"/>
  <c r="H183" i="41" l="1"/>
  <c r="I183" i="41" s="1"/>
  <c r="L183" i="41" s="1"/>
  <c r="D184" i="41"/>
  <c r="F183" i="41"/>
  <c r="N182" i="41"/>
  <c r="O182" i="41"/>
  <c r="Q182" i="41" s="1"/>
  <c r="M182" i="41"/>
  <c r="AY21" i="26"/>
  <c r="AZ5" i="26"/>
  <c r="AY6" i="26"/>
  <c r="AY7" i="26" s="1"/>
  <c r="AY9" i="26" s="1"/>
  <c r="AX17" i="26"/>
  <c r="AX25" i="26" s="1"/>
  <c r="AX28" i="26" s="1"/>
  <c r="AX13" i="26"/>
  <c r="D185" i="41" l="1"/>
  <c r="H184" i="41"/>
  <c r="I184" i="41" s="1"/>
  <c r="F184" i="41"/>
  <c r="N183" i="41"/>
  <c r="O183" i="41"/>
  <c r="Q183" i="41" s="1"/>
  <c r="M183" i="41"/>
  <c r="AY13" i="26"/>
  <c r="AY17" i="26"/>
  <c r="AY25" i="26" s="1"/>
  <c r="AY28" i="26" s="1"/>
  <c r="AZ6" i="26"/>
  <c r="AZ7" i="26" s="1"/>
  <c r="AZ9" i="26" s="1"/>
  <c r="BA5" i="26"/>
  <c r="AZ21" i="26"/>
  <c r="O184" i="41" l="1"/>
  <c r="Q184" i="41" s="1"/>
  <c r="N184" i="41"/>
  <c r="M184" i="41"/>
  <c r="L184" i="41"/>
  <c r="F185" i="41"/>
  <c r="H185" i="41"/>
  <c r="I185" i="41" s="1"/>
  <c r="D186" i="41"/>
  <c r="AZ17" i="26"/>
  <c r="AZ25" i="26" s="1"/>
  <c r="AZ28" i="26" s="1"/>
  <c r="AZ13" i="26"/>
  <c r="BA21" i="26"/>
  <c r="BA6" i="26"/>
  <c r="BA7" i="26" s="1"/>
  <c r="BA9" i="26" s="1"/>
  <c r="BB5" i="26"/>
  <c r="O185" i="41" l="1"/>
  <c r="Q185" i="41" s="1"/>
  <c r="N185" i="41"/>
  <c r="M185" i="41"/>
  <c r="F186" i="41"/>
  <c r="H186" i="41"/>
  <c r="I186" i="41" s="1"/>
  <c r="L186" i="41" s="1"/>
  <c r="D187" i="41"/>
  <c r="L185" i="41"/>
  <c r="BA13" i="26"/>
  <c r="BA17" i="26"/>
  <c r="BA25" i="26" s="1"/>
  <c r="BA28" i="26" s="1"/>
  <c r="BB6" i="26"/>
  <c r="BB7" i="26" s="1"/>
  <c r="BB9" i="26" s="1"/>
  <c r="BB21" i="26"/>
  <c r="BC5" i="26"/>
  <c r="H187" i="41" l="1"/>
  <c r="I187" i="41" s="1"/>
  <c r="D188" i="41"/>
  <c r="L187" i="41"/>
  <c r="F187" i="41"/>
  <c r="N186" i="41"/>
  <c r="O186" i="41"/>
  <c r="Q186" i="41" s="1"/>
  <c r="M186" i="41"/>
  <c r="BB17" i="26"/>
  <c r="BB25" i="26" s="1"/>
  <c r="BB28" i="26" s="1"/>
  <c r="BB13" i="26"/>
  <c r="BC6" i="26"/>
  <c r="BC7" i="26" s="1"/>
  <c r="BC9" i="26" s="1"/>
  <c r="BD5" i="26"/>
  <c r="BC21" i="26"/>
  <c r="D189" i="41" l="1"/>
  <c r="F188" i="41"/>
  <c r="H188" i="41"/>
  <c r="I188" i="41" s="1"/>
  <c r="N187" i="41"/>
  <c r="O187" i="41"/>
  <c r="Q187" i="41" s="1"/>
  <c r="M187" i="41"/>
  <c r="BD21" i="26"/>
  <c r="BD6" i="26"/>
  <c r="BD7" i="26" s="1"/>
  <c r="BD9" i="26" s="1"/>
  <c r="BE5" i="26"/>
  <c r="BC13" i="26"/>
  <c r="BC17" i="26"/>
  <c r="BC25" i="26" s="1"/>
  <c r="BC28" i="26" s="1"/>
  <c r="O188" i="41" l="1"/>
  <c r="Q188" i="41" s="1"/>
  <c r="N188" i="41"/>
  <c r="M188" i="41"/>
  <c r="L188" i="41"/>
  <c r="F189" i="41"/>
  <c r="D190" i="41"/>
  <c r="H189" i="41"/>
  <c r="I189" i="41" s="1"/>
  <c r="BE21" i="26"/>
  <c r="BE6" i="26"/>
  <c r="BE7" i="26" s="1"/>
  <c r="BE9" i="26" s="1"/>
  <c r="BF5" i="26"/>
  <c r="BD17" i="26"/>
  <c r="BD25" i="26" s="1"/>
  <c r="BD28" i="26" s="1"/>
  <c r="BD13" i="26"/>
  <c r="N189" i="41" l="1"/>
  <c r="O189" i="41"/>
  <c r="Q189" i="41" s="1"/>
  <c r="M189" i="41"/>
  <c r="F190" i="41"/>
  <c r="H190" i="41"/>
  <c r="I190" i="41" s="1"/>
  <c r="D191" i="41"/>
  <c r="L190" i="41"/>
  <c r="L189" i="41"/>
  <c r="BG5" i="26"/>
  <c r="BF21" i="26"/>
  <c r="BF6" i="26"/>
  <c r="BF7" i="26" s="1"/>
  <c r="BF9" i="26" s="1"/>
  <c r="BE13" i="26"/>
  <c r="BE17" i="26"/>
  <c r="BE25" i="26" s="1"/>
  <c r="BE28" i="26" s="1"/>
  <c r="H191" i="41" l="1"/>
  <c r="I191" i="41" s="1"/>
  <c r="L191" i="41" s="1"/>
  <c r="D192" i="41"/>
  <c r="F191" i="41"/>
  <c r="N190" i="41"/>
  <c r="O190" i="41"/>
  <c r="Q190" i="41" s="1"/>
  <c r="M190" i="41"/>
  <c r="BF17" i="26"/>
  <c r="BF25" i="26" s="1"/>
  <c r="BF28" i="26" s="1"/>
  <c r="BF13" i="26"/>
  <c r="BG6" i="26"/>
  <c r="BG7" i="26" s="1"/>
  <c r="BG9" i="26" s="1"/>
  <c r="BG21" i="26"/>
  <c r="BH5" i="26"/>
  <c r="D193" i="41" l="1"/>
  <c r="H192" i="41"/>
  <c r="I192" i="41" s="1"/>
  <c r="F192" i="41"/>
  <c r="N191" i="41"/>
  <c r="O191" i="41"/>
  <c r="Q191" i="41" s="1"/>
  <c r="M191" i="41"/>
  <c r="BG13" i="26"/>
  <c r="BG17" i="26"/>
  <c r="BG25" i="26" s="1"/>
  <c r="BG28" i="26" s="1"/>
  <c r="BH6" i="26"/>
  <c r="BH7" i="26" s="1"/>
  <c r="BH9" i="26" s="1"/>
  <c r="BI5" i="26"/>
  <c r="BH21" i="26"/>
  <c r="O192" i="41" l="1"/>
  <c r="Q192" i="41" s="1"/>
  <c r="N192" i="41"/>
  <c r="M192" i="41"/>
  <c r="L192" i="41"/>
  <c r="F193" i="41"/>
  <c r="H193" i="41"/>
  <c r="I193" i="41" s="1"/>
  <c r="D194" i="41"/>
  <c r="BI21" i="26"/>
  <c r="BI6" i="26"/>
  <c r="BI7" i="26" s="1"/>
  <c r="BI9" i="26" s="1"/>
  <c r="BJ5" i="26"/>
  <c r="BH17" i="26"/>
  <c r="BH25" i="26" s="1"/>
  <c r="BH28" i="26" s="1"/>
  <c r="BH13" i="26"/>
  <c r="F194" i="41" l="1"/>
  <c r="H194" i="41"/>
  <c r="I194" i="41" s="1"/>
  <c r="L194" i="41"/>
  <c r="D195" i="41"/>
  <c r="O193" i="41"/>
  <c r="Q193" i="41" s="1"/>
  <c r="N193" i="41"/>
  <c r="M193" i="41"/>
  <c r="L193" i="41"/>
  <c r="BJ21" i="26"/>
  <c r="BK5" i="26"/>
  <c r="BJ6" i="26"/>
  <c r="BJ7" i="26" s="1"/>
  <c r="BJ9" i="26" s="1"/>
  <c r="BI17" i="26"/>
  <c r="BI25" i="26" s="1"/>
  <c r="BI28" i="26" s="1"/>
  <c r="BI13" i="26"/>
  <c r="H195" i="41" l="1"/>
  <c r="I195" i="41" s="1"/>
  <c r="D196" i="41"/>
  <c r="L195" i="41"/>
  <c r="F195" i="41"/>
  <c r="N194" i="41"/>
  <c r="O194" i="41"/>
  <c r="Q194" i="41" s="1"/>
  <c r="M194" i="41"/>
  <c r="BJ17" i="26"/>
  <c r="BJ25" i="26" s="1"/>
  <c r="BJ28" i="26" s="1"/>
  <c r="BJ13" i="26"/>
  <c r="BK6" i="26"/>
  <c r="BK7" i="26" s="1"/>
  <c r="BK9" i="26" s="1"/>
  <c r="BK21" i="26"/>
  <c r="BL5" i="26"/>
  <c r="D197" i="41" l="1"/>
  <c r="F196" i="41"/>
  <c r="H196" i="41"/>
  <c r="I196" i="41" s="1"/>
  <c r="N195" i="41"/>
  <c r="O195" i="41"/>
  <c r="Q195" i="41" s="1"/>
  <c r="M195" i="41"/>
  <c r="BK13" i="26"/>
  <c r="BK17" i="26"/>
  <c r="BK25" i="26" s="1"/>
  <c r="BK28" i="26" s="1"/>
  <c r="BL6" i="26"/>
  <c r="BL7" i="26" s="1"/>
  <c r="BL9" i="26" s="1"/>
  <c r="BM5" i="26"/>
  <c r="BL21" i="26"/>
  <c r="O196" i="41" l="1"/>
  <c r="Q196" i="41" s="1"/>
  <c r="N196" i="41"/>
  <c r="M196" i="41"/>
  <c r="L196" i="41"/>
  <c r="F197" i="41"/>
  <c r="D198" i="41"/>
  <c r="H197" i="41"/>
  <c r="I197" i="41" s="1"/>
  <c r="BM21" i="26"/>
  <c r="BN5" i="26"/>
  <c r="BM6" i="26"/>
  <c r="BM7" i="26" s="1"/>
  <c r="BM9" i="26" s="1"/>
  <c r="BL13" i="26"/>
  <c r="BL17" i="26"/>
  <c r="BL25" i="26" s="1"/>
  <c r="BL28" i="26" s="1"/>
  <c r="N197" i="41" l="1"/>
  <c r="O197" i="41"/>
  <c r="Q197" i="41" s="1"/>
  <c r="M197" i="41"/>
  <c r="F198" i="41"/>
  <c r="H198" i="41"/>
  <c r="I198" i="41" s="1"/>
  <c r="D199" i="41"/>
  <c r="L198" i="41"/>
  <c r="L197" i="41"/>
  <c r="BM17" i="26"/>
  <c r="BM25" i="26" s="1"/>
  <c r="BM28" i="26" s="1"/>
  <c r="BM13" i="26"/>
  <c r="BN21" i="26"/>
  <c r="BO5" i="26"/>
  <c r="BN6" i="26"/>
  <c r="BN7" i="26" s="1"/>
  <c r="BN9" i="26" s="1"/>
  <c r="H199" i="41" l="1"/>
  <c r="I199" i="41" s="1"/>
  <c r="L199" i="41" s="1"/>
  <c r="D200" i="41"/>
  <c r="F199" i="41"/>
  <c r="N198" i="41"/>
  <c r="O198" i="41"/>
  <c r="Q198" i="41" s="1"/>
  <c r="M198" i="41"/>
  <c r="BO21" i="26"/>
  <c r="BP5" i="26"/>
  <c r="BO6" i="26"/>
  <c r="BO7" i="26" s="1"/>
  <c r="BO9" i="26" s="1"/>
  <c r="BN17" i="26"/>
  <c r="BN25" i="26" s="1"/>
  <c r="BN28" i="26" s="1"/>
  <c r="BN13" i="26"/>
  <c r="D201" i="41" l="1"/>
  <c r="H200" i="41"/>
  <c r="I200" i="41" s="1"/>
  <c r="F200" i="41"/>
  <c r="N199" i="41"/>
  <c r="O199" i="41"/>
  <c r="Q199" i="41" s="1"/>
  <c r="M199" i="41"/>
  <c r="BO13" i="26"/>
  <c r="BO17" i="26"/>
  <c r="BO25" i="26" s="1"/>
  <c r="BO28" i="26" s="1"/>
  <c r="BP6" i="26"/>
  <c r="BP7" i="26" s="1"/>
  <c r="BP9" i="26" s="1"/>
  <c r="BQ5" i="26"/>
  <c r="BP21" i="26"/>
  <c r="O200" i="41" l="1"/>
  <c r="Q200" i="41" s="1"/>
  <c r="N200" i="41"/>
  <c r="M200" i="41"/>
  <c r="L200" i="41"/>
  <c r="F201" i="41"/>
  <c r="H201" i="41"/>
  <c r="I201" i="41" s="1"/>
  <c r="D202" i="41"/>
  <c r="BQ21" i="26"/>
  <c r="BR5" i="26"/>
  <c r="BQ6" i="26"/>
  <c r="BQ7" i="26" s="1"/>
  <c r="BQ9" i="26" s="1"/>
  <c r="BP17" i="26"/>
  <c r="BP25" i="26" s="1"/>
  <c r="BP28" i="26" s="1"/>
  <c r="BP13" i="26"/>
  <c r="F202" i="41" l="1"/>
  <c r="H202" i="41"/>
  <c r="I202" i="41" s="1"/>
  <c r="L202" i="41"/>
  <c r="D203" i="41"/>
  <c r="O201" i="41"/>
  <c r="Q201" i="41" s="1"/>
  <c r="N201" i="41"/>
  <c r="M201" i="41"/>
  <c r="L201" i="41"/>
  <c r="BQ13" i="26"/>
  <c r="BQ17" i="26"/>
  <c r="BQ25" i="26" s="1"/>
  <c r="BQ28" i="26" s="1"/>
  <c r="BR6" i="26"/>
  <c r="BR7" i="26" s="1"/>
  <c r="BR9" i="26" s="1"/>
  <c r="BR21" i="26"/>
  <c r="BS5" i="26"/>
  <c r="H203" i="41" l="1"/>
  <c r="I203" i="41" s="1"/>
  <c r="D204" i="41"/>
  <c r="L203" i="41"/>
  <c r="F203" i="41"/>
  <c r="N202" i="41"/>
  <c r="O202" i="41"/>
  <c r="Q202" i="41" s="1"/>
  <c r="M202" i="41"/>
  <c r="BR17" i="26"/>
  <c r="BR25" i="26" s="1"/>
  <c r="BR28" i="26" s="1"/>
  <c r="BR13" i="26"/>
  <c r="BS6" i="26"/>
  <c r="BS7" i="26" s="1"/>
  <c r="BS9" i="26" s="1"/>
  <c r="BS21" i="26"/>
  <c r="BT5" i="26"/>
  <c r="D205" i="41" l="1"/>
  <c r="F204" i="41"/>
  <c r="H204" i="41"/>
  <c r="I204" i="41" s="1"/>
  <c r="N203" i="41"/>
  <c r="O203" i="41"/>
  <c r="Q203" i="41" s="1"/>
  <c r="M203" i="41"/>
  <c r="BS13" i="26"/>
  <c r="BS17" i="26"/>
  <c r="BS25" i="26" s="1"/>
  <c r="BS28" i="26" s="1"/>
  <c r="BT21" i="26"/>
  <c r="BT6" i="26"/>
  <c r="BT7" i="26" s="1"/>
  <c r="BT9" i="26" s="1"/>
  <c r="BU5" i="26"/>
  <c r="O204" i="41" l="1"/>
  <c r="Q204" i="41" s="1"/>
  <c r="N204" i="41"/>
  <c r="M204" i="41"/>
  <c r="L204" i="41"/>
  <c r="F205" i="41"/>
  <c r="D206" i="41"/>
  <c r="H205" i="41"/>
  <c r="I205" i="41" s="1"/>
  <c r="BT13" i="26"/>
  <c r="BT17" i="26"/>
  <c r="BT25" i="26" s="1"/>
  <c r="BT28" i="26" s="1"/>
  <c r="BU21" i="26"/>
  <c r="BU6" i="26"/>
  <c r="BU7" i="26" s="1"/>
  <c r="BU9" i="26" s="1"/>
  <c r="BV5" i="26"/>
  <c r="N205" i="41" l="1"/>
  <c r="O205" i="41"/>
  <c r="Q205" i="41" s="1"/>
  <c r="M205" i="41"/>
  <c r="F206" i="41"/>
  <c r="H206" i="41"/>
  <c r="I206" i="41" s="1"/>
  <c r="D207" i="41"/>
  <c r="L206" i="41"/>
  <c r="L205" i="41"/>
  <c r="BU17" i="26"/>
  <c r="BU25" i="26" s="1"/>
  <c r="BU28" i="26" s="1"/>
  <c r="BU13" i="26"/>
  <c r="BV21" i="26"/>
  <c r="BV6" i="26"/>
  <c r="BV7" i="26" s="1"/>
  <c r="BV9" i="26" s="1"/>
  <c r="H207" i="41" l="1"/>
  <c r="I207" i="41" s="1"/>
  <c r="L207" i="41" s="1"/>
  <c r="D208" i="41"/>
  <c r="F207" i="41"/>
  <c r="N206" i="41"/>
  <c r="O206" i="41"/>
  <c r="Q206" i="41" s="1"/>
  <c r="M206" i="41"/>
  <c r="BV17" i="26"/>
  <c r="BV25" i="26" s="1"/>
  <c r="BV28" i="26" s="1"/>
  <c r="BV13" i="26"/>
  <c r="D209" i="41" l="1"/>
  <c r="H208" i="41"/>
  <c r="I208" i="41" s="1"/>
  <c r="F208" i="41"/>
  <c r="N207" i="41"/>
  <c r="O207" i="41"/>
  <c r="Q207" i="41" s="1"/>
  <c r="M207" i="41"/>
  <c r="K355" i="24"/>
  <c r="K360" i="24" s="1"/>
  <c r="O347" i="24"/>
  <c r="O348" i="24" s="1"/>
  <c r="O349" i="24" s="1"/>
  <c r="O350" i="24" s="1"/>
  <c r="O351" i="24" s="1"/>
  <c r="D347" i="24"/>
  <c r="H355" i="24" s="1"/>
  <c r="H360" i="24" s="1"/>
  <c r="D346" i="24"/>
  <c r="D345" i="24"/>
  <c r="H353" i="24" s="1"/>
  <c r="B711" i="21"/>
  <c r="B710" i="21"/>
  <c r="B708" i="21"/>
  <c r="B709" i="21"/>
  <c r="B736" i="21"/>
  <c r="E748" i="21"/>
  <c r="D748" i="21"/>
  <c r="C748" i="21"/>
  <c r="B748" i="21"/>
  <c r="D745" i="21"/>
  <c r="C745" i="21"/>
  <c r="D743" i="21"/>
  <c r="C743" i="21"/>
  <c r="E741" i="21"/>
  <c r="B732" i="21"/>
  <c r="B734" i="21" s="1"/>
  <c r="B730" i="21"/>
  <c r="B731" i="21" s="1"/>
  <c r="B728" i="21"/>
  <c r="B735" i="21" s="1"/>
  <c r="B688" i="21"/>
  <c r="B690" i="21" s="1"/>
  <c r="B665" i="21"/>
  <c r="B669" i="21" s="1"/>
  <c r="D663" i="21"/>
  <c r="B663" i="21"/>
  <c r="B667" i="21" s="1"/>
  <c r="B662" i="21"/>
  <c r="D658" i="21"/>
  <c r="C165" i="24"/>
  <c r="C169" i="24"/>
  <c r="C168" i="24"/>
  <c r="C167" i="24"/>
  <c r="C263" i="24"/>
  <c r="C262" i="24"/>
  <c r="O208" i="41" l="1"/>
  <c r="Q208" i="41" s="1"/>
  <c r="N208" i="41"/>
  <c r="M208" i="41"/>
  <c r="L208" i="41"/>
  <c r="F209" i="41"/>
  <c r="H209" i="41"/>
  <c r="I209" i="41" s="1"/>
  <c r="D210" i="41"/>
  <c r="I355" i="24"/>
  <c r="I360" i="24" s="1"/>
  <c r="O352" i="24"/>
  <c r="L346" i="24"/>
  <c r="L354" i="24" s="1"/>
  <c r="H358" i="24"/>
  <c r="H354" i="24"/>
  <c r="I353" i="24"/>
  <c r="L355" i="24"/>
  <c r="L360" i="24" s="1"/>
  <c r="E353" i="24"/>
  <c r="F353" i="24"/>
  <c r="B694" i="21"/>
  <c r="B692" i="21"/>
  <c r="B691" i="21"/>
  <c r="B689" i="21"/>
  <c r="B693" i="21"/>
  <c r="E743" i="21"/>
  <c r="E745" i="21"/>
  <c r="D255" i="24"/>
  <c r="C255" i="24"/>
  <c r="C261" i="24" s="1"/>
  <c r="D261" i="24" s="1"/>
  <c r="C260" i="24"/>
  <c r="D314" i="24"/>
  <c r="D315" i="24" s="1"/>
  <c r="G313" i="24"/>
  <c r="G307" i="24"/>
  <c r="G306" i="24"/>
  <c r="G305" i="24"/>
  <c r="G304" i="24"/>
  <c r="G303" i="24"/>
  <c r="G302" i="24"/>
  <c r="G301" i="24"/>
  <c r="G300" i="24"/>
  <c r="D298" i="24"/>
  <c r="D296" i="24"/>
  <c r="G294" i="24"/>
  <c r="G291" i="24"/>
  <c r="G290" i="24"/>
  <c r="G289" i="24"/>
  <c r="G288" i="24"/>
  <c r="G287" i="24"/>
  <c r="D79" i="24"/>
  <c r="D76" i="24"/>
  <c r="D75" i="24" s="1"/>
  <c r="D78" i="24" s="1"/>
  <c r="D73" i="24"/>
  <c r="E69" i="24"/>
  <c r="D61" i="24"/>
  <c r="D58" i="24"/>
  <c r="D57" i="24" s="1"/>
  <c r="D60" i="24" s="1"/>
  <c r="D55" i="24"/>
  <c r="E54" i="24" s="1"/>
  <c r="F54" i="24" s="1"/>
  <c r="G54" i="24" s="1"/>
  <c r="H54" i="24" s="1"/>
  <c r="I54" i="24" s="1"/>
  <c r="J54" i="24" s="1"/>
  <c r="E51" i="24"/>
  <c r="B9" i="24"/>
  <c r="D10" i="24" s="1"/>
  <c r="E10" i="24" s="1"/>
  <c r="F10" i="24" s="1"/>
  <c r="G10" i="24" s="1"/>
  <c r="H10" i="24" s="1"/>
  <c r="I10" i="24" s="1"/>
  <c r="B132" i="23"/>
  <c r="B134" i="23"/>
  <c r="B135" i="23" s="1"/>
  <c r="B136" i="23" s="1"/>
  <c r="B137" i="23" s="1"/>
  <c r="B161" i="23"/>
  <c r="C165" i="23" s="1"/>
  <c r="D161" i="23"/>
  <c r="D162" i="23"/>
  <c r="C164" i="23"/>
  <c r="B180" i="23"/>
  <c r="B181" i="23" s="1"/>
  <c r="D180" i="23"/>
  <c r="D181" i="23" s="1"/>
  <c r="F180" i="23"/>
  <c r="F181" i="23" s="1"/>
  <c r="B185" i="23"/>
  <c r="B186" i="23" s="1"/>
  <c r="D185" i="23"/>
  <c r="D186" i="23" s="1"/>
  <c r="F185" i="23"/>
  <c r="F186" i="23"/>
  <c r="A194" i="23"/>
  <c r="B213" i="23"/>
  <c r="B214" i="23" s="1"/>
  <c r="B216" i="23"/>
  <c r="B222" i="23" s="1"/>
  <c r="B223" i="23" s="1"/>
  <c r="F209" i="24"/>
  <c r="I209" i="24" s="1"/>
  <c r="J209" i="24" s="1"/>
  <c r="K209" i="24" s="1"/>
  <c r="L209" i="24" s="1"/>
  <c r="M209" i="24" s="1"/>
  <c r="N209" i="24" s="1"/>
  <c r="O209" i="24" s="1"/>
  <c r="F208" i="24"/>
  <c r="I208" i="24" s="1"/>
  <c r="J208" i="24" s="1"/>
  <c r="K208" i="24" s="1"/>
  <c r="L208" i="24" s="1"/>
  <c r="M208" i="24" s="1"/>
  <c r="N208" i="24" s="1"/>
  <c r="O208" i="24" s="1"/>
  <c r="F201" i="24"/>
  <c r="I201" i="24" s="1"/>
  <c r="J201" i="24" s="1"/>
  <c r="K201" i="24" s="1"/>
  <c r="L201" i="24" s="1"/>
  <c r="M201" i="24" s="1"/>
  <c r="N201" i="24" s="1"/>
  <c r="O201" i="24" s="1"/>
  <c r="F200" i="24"/>
  <c r="I200" i="24" s="1"/>
  <c r="J200" i="24" s="1"/>
  <c r="K200" i="24" s="1"/>
  <c r="L200" i="24" s="1"/>
  <c r="M200" i="24" s="1"/>
  <c r="N200" i="24" s="1"/>
  <c r="O200" i="24" s="1"/>
  <c r="I174" i="24"/>
  <c r="I175" i="24" s="1"/>
  <c r="L150" i="24"/>
  <c r="K150" i="24"/>
  <c r="J150" i="24"/>
  <c r="I150" i="24"/>
  <c r="H150" i="24"/>
  <c r="G150" i="24"/>
  <c r="F150" i="24"/>
  <c r="L148" i="24"/>
  <c r="K148" i="24"/>
  <c r="J148" i="24"/>
  <c r="I148" i="24"/>
  <c r="H148" i="24"/>
  <c r="G148" i="24"/>
  <c r="F148" i="24"/>
  <c r="F143" i="24"/>
  <c r="F145" i="24" s="1"/>
  <c r="C142" i="24"/>
  <c r="F142" i="24" s="1"/>
  <c r="G142" i="24" s="1"/>
  <c r="H142" i="24" s="1"/>
  <c r="I142" i="24" s="1"/>
  <c r="J142" i="24" s="1"/>
  <c r="K142" i="24" s="1"/>
  <c r="L142" i="24" s="1"/>
  <c r="C133" i="24"/>
  <c r="F133" i="24" s="1"/>
  <c r="G133" i="24" s="1"/>
  <c r="H133" i="24" s="1"/>
  <c r="I133" i="24" s="1"/>
  <c r="C132" i="24"/>
  <c r="F132" i="24" s="1"/>
  <c r="G132" i="24" s="1"/>
  <c r="H132" i="24" s="1"/>
  <c r="I132" i="24" s="1"/>
  <c r="F131" i="24"/>
  <c r="G131" i="24" s="1"/>
  <c r="H131" i="24" s="1"/>
  <c r="I131" i="24" s="1"/>
  <c r="C121" i="24"/>
  <c r="F121" i="24" s="1"/>
  <c r="G121" i="24" s="1"/>
  <c r="H121" i="24" s="1"/>
  <c r="I121" i="24" s="1"/>
  <c r="C120" i="24"/>
  <c r="F120" i="24" s="1"/>
  <c r="G120" i="24" s="1"/>
  <c r="H120" i="24" s="1"/>
  <c r="I120" i="24" s="1"/>
  <c r="C119" i="24"/>
  <c r="F119" i="24" s="1"/>
  <c r="G119" i="24" s="1"/>
  <c r="H119" i="24" s="1"/>
  <c r="I119" i="24" s="1"/>
  <c r="C108" i="24"/>
  <c r="F108" i="24" s="1"/>
  <c r="G108" i="24" s="1"/>
  <c r="H108" i="24" s="1"/>
  <c r="I108" i="24" s="1"/>
  <c r="C107" i="24"/>
  <c r="F107" i="24" s="1"/>
  <c r="G107" i="24" s="1"/>
  <c r="H107" i="24" s="1"/>
  <c r="I107" i="24" s="1"/>
  <c r="F106" i="24"/>
  <c r="G106" i="24" s="1"/>
  <c r="H106" i="24" s="1"/>
  <c r="I106" i="24" s="1"/>
  <c r="C97" i="24"/>
  <c r="F97" i="24" s="1"/>
  <c r="G97" i="24" s="1"/>
  <c r="H97" i="24" s="1"/>
  <c r="I97" i="24" s="1"/>
  <c r="J97" i="24" s="1"/>
  <c r="K97" i="24" s="1"/>
  <c r="L97" i="24" s="1"/>
  <c r="C96" i="24"/>
  <c r="F96" i="24" s="1"/>
  <c r="G96" i="24" s="1"/>
  <c r="H96" i="24" s="1"/>
  <c r="I96" i="24" s="1"/>
  <c r="J96" i="24" s="1"/>
  <c r="K96" i="24" s="1"/>
  <c r="L96" i="24" s="1"/>
  <c r="C95" i="24"/>
  <c r="F95" i="24" s="1"/>
  <c r="G95" i="24" s="1"/>
  <c r="H95" i="24" s="1"/>
  <c r="I95" i="24" s="1"/>
  <c r="J95" i="24" s="1"/>
  <c r="K95" i="24" s="1"/>
  <c r="L95" i="24" s="1"/>
  <c r="C87" i="23"/>
  <c r="D87" i="23" s="1"/>
  <c r="D110" i="23"/>
  <c r="B111" i="23"/>
  <c r="B112" i="23" s="1"/>
  <c r="B109" i="23"/>
  <c r="B110" i="23" s="1"/>
  <c r="B113" i="23" s="1"/>
  <c r="B114" i="23" s="1"/>
  <c r="B50" i="23"/>
  <c r="B51" i="23" s="1"/>
  <c r="A53" i="23" s="1"/>
  <c r="E33" i="23"/>
  <c r="F33" i="23" s="1"/>
  <c r="G33" i="23" s="1"/>
  <c r="H33" i="23" s="1"/>
  <c r="D36" i="23"/>
  <c r="D39" i="23" s="1"/>
  <c r="J34" i="23"/>
  <c r="E34" i="23" s="1"/>
  <c r="F34" i="23" s="1"/>
  <c r="G34" i="23" s="1"/>
  <c r="H34" i="23" s="1"/>
  <c r="G20" i="23"/>
  <c r="G22" i="23" s="1"/>
  <c r="F20" i="23"/>
  <c r="F22" i="23" s="1"/>
  <c r="E20" i="23"/>
  <c r="E22" i="23" s="1"/>
  <c r="D20" i="23"/>
  <c r="D22" i="23" s="1"/>
  <c r="C20" i="23"/>
  <c r="C22" i="23" s="1"/>
  <c r="L93" i="23"/>
  <c r="J93" i="23"/>
  <c r="H93" i="23"/>
  <c r="F93" i="23"/>
  <c r="D93" i="23"/>
  <c r="B93" i="23"/>
  <c r="B94" i="23" s="1"/>
  <c r="C94" i="23" s="1"/>
  <c r="B88" i="23"/>
  <c r="B89" i="23" s="1"/>
  <c r="B91" i="23" s="1"/>
  <c r="B69" i="23"/>
  <c r="B70" i="23" s="1"/>
  <c r="B64" i="23"/>
  <c r="B67" i="23" s="1"/>
  <c r="J63" i="23"/>
  <c r="I63" i="23"/>
  <c r="H63" i="23"/>
  <c r="G63" i="23"/>
  <c r="F63" i="23"/>
  <c r="E63" i="23"/>
  <c r="D63" i="23"/>
  <c r="C63" i="23"/>
  <c r="C62" i="23"/>
  <c r="C483" i="21"/>
  <c r="D483" i="21"/>
  <c r="E483" i="21" s="1"/>
  <c r="B484" i="21"/>
  <c r="C484" i="21"/>
  <c r="F210" i="41" l="1"/>
  <c r="H210" i="41"/>
  <c r="I210" i="41" s="1"/>
  <c r="L210" i="41" s="1"/>
  <c r="D211" i="41"/>
  <c r="O209" i="41"/>
  <c r="Q209" i="41" s="1"/>
  <c r="N209" i="41"/>
  <c r="M209" i="41"/>
  <c r="L209" i="41"/>
  <c r="L353" i="24"/>
  <c r="L359" i="24"/>
  <c r="F358" i="24"/>
  <c r="O353" i="24"/>
  <c r="O354" i="24" s="1"/>
  <c r="O355" i="24" s="1"/>
  <c r="O356" i="24" s="1"/>
  <c r="O357" i="24" s="1"/>
  <c r="O358" i="24" s="1"/>
  <c r="O359" i="24" s="1"/>
  <c r="K346" i="24"/>
  <c r="K354" i="24" s="1"/>
  <c r="E358" i="24"/>
  <c r="I358" i="24"/>
  <c r="I354" i="24"/>
  <c r="H359" i="24"/>
  <c r="H346" i="24"/>
  <c r="B695" i="21"/>
  <c r="B696" i="21"/>
  <c r="E60" i="24"/>
  <c r="F60" i="24" s="1"/>
  <c r="G60" i="24" s="1"/>
  <c r="H60" i="24" s="1"/>
  <c r="I60" i="24" s="1"/>
  <c r="J60" i="24" s="1"/>
  <c r="E78" i="24"/>
  <c r="F78" i="24" s="1"/>
  <c r="G78" i="24" s="1"/>
  <c r="H78" i="24" s="1"/>
  <c r="I78" i="24" s="1"/>
  <c r="J78" i="24" s="1"/>
  <c r="D316" i="24"/>
  <c r="G315" i="24"/>
  <c r="G314" i="24"/>
  <c r="E58" i="24"/>
  <c r="E57" i="24" s="1"/>
  <c r="F69" i="24"/>
  <c r="F51" i="24"/>
  <c r="E72" i="24"/>
  <c r="F72" i="24" s="1"/>
  <c r="G72" i="24" s="1"/>
  <c r="H72" i="24" s="1"/>
  <c r="I72" i="24" s="1"/>
  <c r="J72" i="24" s="1"/>
  <c r="B139" i="23"/>
  <c r="B140" i="23" s="1"/>
  <c r="A143" i="23" s="1"/>
  <c r="B183" i="23"/>
  <c r="B188" i="23"/>
  <c r="B189" i="23" s="1"/>
  <c r="B191" i="23" s="1"/>
  <c r="B192" i="23" s="1"/>
  <c r="B141" i="23"/>
  <c r="F188" i="23"/>
  <c r="F189" i="23" s="1"/>
  <c r="F191" i="23" s="1"/>
  <c r="F192" i="23" s="1"/>
  <c r="F183" i="23"/>
  <c r="D183" i="23"/>
  <c r="D188" i="23"/>
  <c r="D189" i="23" s="1"/>
  <c r="D191" i="23" s="1"/>
  <c r="D192" i="23" s="1"/>
  <c r="B162" i="23"/>
  <c r="B217" i="23"/>
  <c r="B218" i="23" s="1"/>
  <c r="B225" i="23" s="1"/>
  <c r="D88" i="23"/>
  <c r="D89" i="23" s="1"/>
  <c r="D91" i="23" s="1"/>
  <c r="E87" i="23"/>
  <c r="F87" i="23" s="1"/>
  <c r="C64" i="23"/>
  <c r="C67" i="23" s="1"/>
  <c r="E36" i="23"/>
  <c r="E37" i="23" s="1"/>
  <c r="A116" i="23"/>
  <c r="G143" i="24"/>
  <c r="J174" i="24"/>
  <c r="D24" i="23"/>
  <c r="D37" i="23"/>
  <c r="F24" i="23"/>
  <c r="C50" i="23"/>
  <c r="F36" i="23"/>
  <c r="C24" i="23"/>
  <c r="E24" i="23"/>
  <c r="D94" i="23"/>
  <c r="C93" i="23"/>
  <c r="C86" i="23" s="1"/>
  <c r="C95" i="23"/>
  <c r="C69" i="23"/>
  <c r="C70" i="23" s="1"/>
  <c r="C71" i="23" s="1"/>
  <c r="D62" i="23"/>
  <c r="B65" i="23"/>
  <c r="E484" i="21"/>
  <c r="F483" i="21"/>
  <c r="D484" i="21"/>
  <c r="A229" i="21"/>
  <c r="A256" i="21"/>
  <c r="B225" i="21"/>
  <c r="B246" i="21"/>
  <c r="B249" i="21" s="1"/>
  <c r="B244" i="21"/>
  <c r="D604" i="21"/>
  <c r="B502" i="21"/>
  <c r="C501" i="21"/>
  <c r="D501" i="21" s="1"/>
  <c r="E501" i="21" s="1"/>
  <c r="F501" i="21" s="1"/>
  <c r="G501" i="21" s="1"/>
  <c r="H501" i="21" s="1"/>
  <c r="I501" i="21" s="1"/>
  <c r="J501" i="21" s="1"/>
  <c r="K501" i="21" s="1"/>
  <c r="L501" i="21" s="1"/>
  <c r="M501" i="21" s="1"/>
  <c r="B358" i="21"/>
  <c r="B359" i="21" s="1"/>
  <c r="B360" i="21" s="1"/>
  <c r="B361" i="21" s="1"/>
  <c r="A363" i="21" s="1"/>
  <c r="B219" i="21"/>
  <c r="H211" i="41" l="1"/>
  <c r="I211" i="41" s="1"/>
  <c r="D212" i="41"/>
  <c r="L211" i="41"/>
  <c r="F211" i="41"/>
  <c r="N210" i="41"/>
  <c r="O210" i="41"/>
  <c r="Q210" i="41" s="1"/>
  <c r="M210" i="41"/>
  <c r="I359" i="24"/>
  <c r="I346" i="24"/>
  <c r="K359" i="24"/>
  <c r="K353" i="24"/>
  <c r="O360" i="24"/>
  <c r="F346" i="24"/>
  <c r="F354" i="24" s="1"/>
  <c r="L358" i="24"/>
  <c r="L345" i="24"/>
  <c r="D317" i="24"/>
  <c r="G316" i="24"/>
  <c r="E76" i="24"/>
  <c r="E75" i="24" s="1"/>
  <c r="F76" i="24"/>
  <c r="F75" i="24" s="1"/>
  <c r="G69" i="24"/>
  <c r="F58" i="24"/>
  <c r="F57" i="24" s="1"/>
  <c r="G51" i="24"/>
  <c r="C65" i="23"/>
  <c r="E39" i="23"/>
  <c r="G87" i="23"/>
  <c r="H87" i="23" s="1"/>
  <c r="F88" i="23"/>
  <c r="F89" i="23" s="1"/>
  <c r="F91" i="23" s="1"/>
  <c r="J175" i="24"/>
  <c r="K174" i="24"/>
  <c r="H143" i="24"/>
  <c r="G145" i="24"/>
  <c r="H36" i="23"/>
  <c r="G36" i="23"/>
  <c r="F39" i="23"/>
  <c r="F37" i="23"/>
  <c r="D95" i="23"/>
  <c r="E94" i="23"/>
  <c r="D64" i="23"/>
  <c r="E62" i="23"/>
  <c r="D69" i="23"/>
  <c r="D70" i="23" s="1"/>
  <c r="D71" i="23" s="1"/>
  <c r="C84" i="23"/>
  <c r="C88" i="23"/>
  <c r="B84" i="23"/>
  <c r="G483" i="21"/>
  <c r="F484" i="21"/>
  <c r="B252" i="21"/>
  <c r="B254" i="21"/>
  <c r="B248" i="21"/>
  <c r="B250" i="21" s="1"/>
  <c r="C502" i="21"/>
  <c r="D502" i="21" s="1"/>
  <c r="E502" i="21" s="1"/>
  <c r="F502" i="21" s="1"/>
  <c r="G502" i="21" s="1"/>
  <c r="H502" i="21" s="1"/>
  <c r="I502" i="21" s="1"/>
  <c r="J502" i="21" s="1"/>
  <c r="K502" i="21" s="1"/>
  <c r="L502" i="21" s="1"/>
  <c r="M502" i="21" s="1"/>
  <c r="B221" i="21"/>
  <c r="B222" i="21"/>
  <c r="D213" i="41" l="1"/>
  <c r="F212" i="41"/>
  <c r="H212" i="41"/>
  <c r="I212" i="41" s="1"/>
  <c r="N211" i="41"/>
  <c r="O211" i="41"/>
  <c r="Q211" i="41" s="1"/>
  <c r="M211" i="41"/>
  <c r="F359" i="24"/>
  <c r="F355" i="24"/>
  <c r="K358" i="24"/>
  <c r="K345" i="24"/>
  <c r="E346" i="24"/>
  <c r="E354" i="24" s="1"/>
  <c r="O361" i="24"/>
  <c r="O362" i="24" s="1"/>
  <c r="O363" i="24" s="1"/>
  <c r="D318" i="24"/>
  <c r="G317" i="24"/>
  <c r="G76" i="24"/>
  <c r="G75" i="24" s="1"/>
  <c r="H69" i="24"/>
  <c r="G58" i="24"/>
  <c r="G57" i="24" s="1"/>
  <c r="H51" i="24"/>
  <c r="I87" i="23"/>
  <c r="J87" i="23" s="1"/>
  <c r="H88" i="23"/>
  <c r="H89" i="23" s="1"/>
  <c r="H91" i="23" s="1"/>
  <c r="I143" i="24"/>
  <c r="H145" i="24"/>
  <c r="L174" i="24"/>
  <c r="K175" i="24"/>
  <c r="G39" i="23"/>
  <c r="G37" i="23"/>
  <c r="H39" i="23"/>
  <c r="H37" i="23"/>
  <c r="C89" i="23"/>
  <c r="C91" i="23"/>
  <c r="D67" i="23"/>
  <c r="D65" i="23"/>
  <c r="E95" i="23"/>
  <c r="F94" i="23"/>
  <c r="E93" i="23"/>
  <c r="E86" i="23" s="1"/>
  <c r="E69" i="23"/>
  <c r="E70" i="23" s="1"/>
  <c r="E71" i="23" s="1"/>
  <c r="E64" i="23"/>
  <c r="F62" i="23"/>
  <c r="H483" i="21"/>
  <c r="G484" i="21"/>
  <c r="B193" i="21"/>
  <c r="B188" i="21"/>
  <c r="B195" i="21" s="1"/>
  <c r="O212" i="41" l="1"/>
  <c r="Q212" i="41" s="1"/>
  <c r="N212" i="41"/>
  <c r="M212" i="41"/>
  <c r="L212" i="41"/>
  <c r="F213" i="41"/>
  <c r="D214" i="41"/>
  <c r="H213" i="41"/>
  <c r="I213" i="41" s="1"/>
  <c r="F360" i="24"/>
  <c r="F347" i="24"/>
  <c r="E359" i="24"/>
  <c r="E355" i="24"/>
  <c r="D319" i="24"/>
  <c r="G318" i="24"/>
  <c r="H76" i="24"/>
  <c r="H75" i="24" s="1"/>
  <c r="I69" i="24"/>
  <c r="I51" i="24"/>
  <c r="H58" i="24"/>
  <c r="H57" i="24" s="1"/>
  <c r="K87" i="23"/>
  <c r="L87" i="23" s="1"/>
  <c r="L88" i="23" s="1"/>
  <c r="L89" i="23" s="1"/>
  <c r="L91" i="23" s="1"/>
  <c r="J88" i="23"/>
  <c r="J89" i="23" s="1"/>
  <c r="J91" i="23" s="1"/>
  <c r="L175" i="24"/>
  <c r="M174" i="24"/>
  <c r="I145" i="24"/>
  <c r="J143" i="24"/>
  <c r="E84" i="23"/>
  <c r="E88" i="23"/>
  <c r="E89" i="23" s="1"/>
  <c r="E91" i="23" s="1"/>
  <c r="D84" i="23"/>
  <c r="G62" i="23"/>
  <c r="F69" i="23"/>
  <c r="F70" i="23" s="1"/>
  <c r="F71" i="23" s="1"/>
  <c r="F64" i="23"/>
  <c r="F95" i="23"/>
  <c r="G94" i="23"/>
  <c r="E67" i="23"/>
  <c r="E65" i="23"/>
  <c r="I483" i="21"/>
  <c r="H484" i="21"/>
  <c r="B189" i="21"/>
  <c r="B190" i="21"/>
  <c r="B191" i="21"/>
  <c r="B523" i="21"/>
  <c r="C523" i="21" s="1"/>
  <c r="C519" i="21"/>
  <c r="D519" i="21" s="1"/>
  <c r="B518" i="21"/>
  <c r="C517" i="21"/>
  <c r="C605" i="21"/>
  <c r="D605" i="21" s="1"/>
  <c r="D591" i="21"/>
  <c r="D592" i="21" s="1"/>
  <c r="D574" i="21"/>
  <c r="D575" i="21" s="1"/>
  <c r="D557" i="21"/>
  <c r="D558" i="21" s="1"/>
  <c r="C284" i="18"/>
  <c r="D282" i="18"/>
  <c r="D269" i="18"/>
  <c r="D270" i="18" s="1"/>
  <c r="C272" i="18" s="1"/>
  <c r="B406" i="21"/>
  <c r="B407" i="21" s="1"/>
  <c r="B408" i="21" s="1"/>
  <c r="B386" i="21"/>
  <c r="B387" i="21" s="1"/>
  <c r="B383" i="21"/>
  <c r="B379" i="21"/>
  <c r="B381" i="21" s="1"/>
  <c r="B497" i="21"/>
  <c r="B504" i="21" s="1"/>
  <c r="B503" i="21" s="1"/>
  <c r="B505" i="21" s="1"/>
  <c r="C496" i="21"/>
  <c r="D496" i="21" s="1"/>
  <c r="C495" i="21"/>
  <c r="D495" i="21" s="1"/>
  <c r="E495" i="21" s="1"/>
  <c r="C494" i="21"/>
  <c r="D494" i="21" s="1"/>
  <c r="E494" i="21" s="1"/>
  <c r="F494" i="21" s="1"/>
  <c r="G494" i="21" s="1"/>
  <c r="H494" i="21" s="1"/>
  <c r="I494" i="21" s="1"/>
  <c r="J494" i="21" s="1"/>
  <c r="K494" i="21" s="1"/>
  <c r="L494" i="21" s="1"/>
  <c r="M494" i="21" s="1"/>
  <c r="C470" i="21"/>
  <c r="B469" i="21"/>
  <c r="C468" i="21"/>
  <c r="D468" i="21" s="1"/>
  <c r="E468" i="21" s="1"/>
  <c r="F468" i="21" s="1"/>
  <c r="G468" i="21" s="1"/>
  <c r="H468" i="21" s="1"/>
  <c r="I468" i="21" s="1"/>
  <c r="J468" i="21" s="1"/>
  <c r="K468" i="21" s="1"/>
  <c r="L468" i="21" s="1"/>
  <c r="C432" i="21"/>
  <c r="B344" i="21"/>
  <c r="B337" i="21"/>
  <c r="B338" i="21" s="1"/>
  <c r="B339" i="21" s="1"/>
  <c r="B310" i="21"/>
  <c r="B312" i="21" s="1"/>
  <c r="B309" i="21"/>
  <c r="B307" i="21"/>
  <c r="D307" i="21" s="1"/>
  <c r="B293" i="21"/>
  <c r="B281" i="21"/>
  <c r="B287" i="21" s="1"/>
  <c r="B289" i="21" s="1"/>
  <c r="B290" i="21" s="1"/>
  <c r="B279" i="21"/>
  <c r="B276" i="21"/>
  <c r="B223" i="21"/>
  <c r="B227" i="21"/>
  <c r="B217" i="21"/>
  <c r="N213" i="41" l="1"/>
  <c r="O213" i="41"/>
  <c r="Q213" i="41" s="1"/>
  <c r="M213" i="41"/>
  <c r="F214" i="41"/>
  <c r="D215" i="41"/>
  <c r="H214" i="41"/>
  <c r="I214" i="41" s="1"/>
  <c r="L214" i="41" s="1"/>
  <c r="L213" i="41"/>
  <c r="E360" i="24"/>
  <c r="E347" i="24"/>
  <c r="D320" i="24"/>
  <c r="G319" i="24"/>
  <c r="I58" i="24"/>
  <c r="I57" i="24" s="1"/>
  <c r="J51" i="24"/>
  <c r="J58" i="24" s="1"/>
  <c r="J57" i="24" s="1"/>
  <c r="I76" i="24"/>
  <c r="I75" i="24" s="1"/>
  <c r="J69" i="24"/>
  <c r="J76" i="24" s="1"/>
  <c r="J75" i="24" s="1"/>
  <c r="M175" i="24"/>
  <c r="N174" i="24"/>
  <c r="N175" i="24" s="1"/>
  <c r="J145" i="24"/>
  <c r="K143" i="24"/>
  <c r="F67" i="23"/>
  <c r="F65" i="23"/>
  <c r="H94" i="23"/>
  <c r="G93" i="23"/>
  <c r="G86" i="23" s="1"/>
  <c r="G95" i="23"/>
  <c r="G64" i="23"/>
  <c r="H62" i="23"/>
  <c r="G69" i="23"/>
  <c r="G70" i="23" s="1"/>
  <c r="G71" i="23" s="1"/>
  <c r="I484" i="21"/>
  <c r="J483" i="21"/>
  <c r="C606" i="21"/>
  <c r="D606" i="21" s="1"/>
  <c r="C435" i="21"/>
  <c r="C433" i="21"/>
  <c r="B283" i="21"/>
  <c r="B292" i="21"/>
  <c r="D292" i="21" s="1"/>
  <c r="B284" i="21"/>
  <c r="C518" i="21"/>
  <c r="B524" i="21"/>
  <c r="B526" i="21" s="1"/>
  <c r="B527" i="21" s="1"/>
  <c r="A200" i="21"/>
  <c r="B192" i="21"/>
  <c r="B194" i="21" s="1"/>
  <c r="B196" i="21" s="1"/>
  <c r="B197" i="21" s="1"/>
  <c r="B198" i="21" s="1"/>
  <c r="A201" i="21" s="1"/>
  <c r="E519" i="21"/>
  <c r="D517" i="21"/>
  <c r="E517" i="21" s="1"/>
  <c r="F517" i="21" s="1"/>
  <c r="G517" i="21" s="1"/>
  <c r="H517" i="21" s="1"/>
  <c r="I517" i="21" s="1"/>
  <c r="J517" i="21" s="1"/>
  <c r="K517" i="21" s="1"/>
  <c r="L517" i="21" s="1"/>
  <c r="M517" i="21" s="1"/>
  <c r="N517" i="21" s="1"/>
  <c r="C607" i="21"/>
  <c r="D607" i="21" s="1"/>
  <c r="B382" i="21"/>
  <c r="B388" i="21"/>
  <c r="B389" i="21" s="1"/>
  <c r="B410" i="21"/>
  <c r="B411" i="21"/>
  <c r="D386" i="21"/>
  <c r="F495" i="21"/>
  <c r="E496" i="21"/>
  <c r="D497" i="21"/>
  <c r="D504" i="21" s="1"/>
  <c r="D503" i="21" s="1"/>
  <c r="C436" i="21"/>
  <c r="C437" i="21" s="1"/>
  <c r="D432" i="21"/>
  <c r="C469" i="21"/>
  <c r="D470" i="21"/>
  <c r="C497" i="21"/>
  <c r="C504" i="21" s="1"/>
  <c r="C503" i="21" s="1"/>
  <c r="C505" i="21" s="1"/>
  <c r="B341" i="21"/>
  <c r="B340" i="21"/>
  <c r="B342" i="21"/>
  <c r="B314" i="21"/>
  <c r="B315" i="21" s="1"/>
  <c r="B316" i="21" s="1"/>
  <c r="D276" i="21"/>
  <c r="B311" i="21"/>
  <c r="B313" i="21" s="1"/>
  <c r="B165" i="21"/>
  <c r="B166" i="21" s="1"/>
  <c r="E134" i="21"/>
  <c r="B131" i="21"/>
  <c r="B133" i="21" s="1"/>
  <c r="B135" i="21" s="1"/>
  <c r="B137" i="21" s="1"/>
  <c r="B139" i="21" s="1"/>
  <c r="A141" i="21" s="1"/>
  <c r="B111" i="21"/>
  <c r="B107" i="21"/>
  <c r="B106" i="21"/>
  <c r="B109" i="21" s="1"/>
  <c r="B103" i="21"/>
  <c r="B104" i="21" s="1"/>
  <c r="B84" i="21"/>
  <c r="B86" i="21" s="1"/>
  <c r="B88" i="21" s="1"/>
  <c r="B90" i="21" s="1"/>
  <c r="N214" i="41" l="1"/>
  <c r="O214" i="41"/>
  <c r="Q214" i="41" s="1"/>
  <c r="M214" i="41"/>
  <c r="F215" i="41"/>
  <c r="D216" i="41"/>
  <c r="H215" i="41"/>
  <c r="I215" i="41" s="1"/>
  <c r="D321" i="24"/>
  <c r="G320" i="24"/>
  <c r="L143" i="24"/>
  <c r="L145" i="24" s="1"/>
  <c r="K145" i="24"/>
  <c r="G84" i="23"/>
  <c r="G88" i="23"/>
  <c r="G89" i="23" s="1"/>
  <c r="G91" i="23" s="1"/>
  <c r="F84" i="23"/>
  <c r="G65" i="23"/>
  <c r="G67" i="23"/>
  <c r="H64" i="23"/>
  <c r="I62" i="23"/>
  <c r="H69" i="23"/>
  <c r="H70" i="23" s="1"/>
  <c r="H71" i="23" s="1"/>
  <c r="H95" i="23"/>
  <c r="I94" i="23"/>
  <c r="J484" i="21"/>
  <c r="K483" i="21"/>
  <c r="C526" i="21"/>
  <c r="C527" i="21" s="1"/>
  <c r="A346" i="21"/>
  <c r="D435" i="21"/>
  <c r="D436" i="21" s="1"/>
  <c r="D437" i="21" s="1"/>
  <c r="D433" i="21"/>
  <c r="B285" i="21"/>
  <c r="F519" i="21"/>
  <c r="E518" i="21"/>
  <c r="D518" i="21"/>
  <c r="C608" i="21"/>
  <c r="D608" i="21" s="1"/>
  <c r="B390" i="21"/>
  <c r="E470" i="21"/>
  <c r="D469" i="21"/>
  <c r="G495" i="21"/>
  <c r="E432" i="21"/>
  <c r="E497" i="21"/>
  <c r="E504" i="21" s="1"/>
  <c r="E503" i="21" s="1"/>
  <c r="E505" i="21" s="1"/>
  <c r="F496" i="21"/>
  <c r="D505" i="21"/>
  <c r="B317" i="21"/>
  <c r="B318" i="21"/>
  <c r="B319" i="21" s="1"/>
  <c r="B320" i="21" s="1"/>
  <c r="B343" i="21"/>
  <c r="B168" i="21"/>
  <c r="A171" i="21" s="1"/>
  <c r="A143" i="21"/>
  <c r="B112" i="21"/>
  <c r="C120" i="20"/>
  <c r="C107" i="20"/>
  <c r="C93" i="20"/>
  <c r="C92" i="20"/>
  <c r="D342" i="20"/>
  <c r="D341" i="20"/>
  <c r="D340" i="20"/>
  <c r="D345" i="20" s="1"/>
  <c r="G324" i="20"/>
  <c r="D313" i="20"/>
  <c r="D314" i="20" s="1"/>
  <c r="D315" i="20" s="1"/>
  <c r="D316" i="20" s="1"/>
  <c r="D317" i="20" s="1"/>
  <c r="D318" i="20" s="1"/>
  <c r="D319" i="20" s="1"/>
  <c r="D320" i="20" s="1"/>
  <c r="D321" i="20" s="1"/>
  <c r="D322" i="20" s="1"/>
  <c r="C324" i="20" s="1"/>
  <c r="N215" i="41" l="1"/>
  <c r="O215" i="41"/>
  <c r="Q215" i="41" s="1"/>
  <c r="M215" i="41"/>
  <c r="H216" i="41"/>
  <c r="I216" i="41" s="1"/>
  <c r="L216" i="41" s="1"/>
  <c r="D217" i="41"/>
  <c r="F216" i="41"/>
  <c r="L215" i="41"/>
  <c r="D322" i="24"/>
  <c r="G322" i="24" s="1"/>
  <c r="G321" i="24"/>
  <c r="I95" i="23"/>
  <c r="J94" i="23"/>
  <c r="I93" i="23"/>
  <c r="I86" i="23" s="1"/>
  <c r="I88" i="23" s="1"/>
  <c r="I89" i="23" s="1"/>
  <c r="I91" i="23" s="1"/>
  <c r="H67" i="23"/>
  <c r="H65" i="23"/>
  <c r="I69" i="23"/>
  <c r="I70" i="23" s="1"/>
  <c r="I71" i="23" s="1"/>
  <c r="I64" i="23"/>
  <c r="J62" i="23"/>
  <c r="L483" i="21"/>
  <c r="K484" i="21"/>
  <c r="D526" i="21"/>
  <c r="D527" i="21" s="1"/>
  <c r="E433" i="21"/>
  <c r="E435" i="21"/>
  <c r="G519" i="21"/>
  <c r="F518" i="21"/>
  <c r="C609" i="21"/>
  <c r="D609" i="21" s="1"/>
  <c r="B391" i="21"/>
  <c r="B392" i="21"/>
  <c r="D392" i="21" s="1"/>
  <c r="F497" i="21"/>
  <c r="F504" i="21" s="1"/>
  <c r="F503" i="21" s="1"/>
  <c r="F505" i="21" s="1"/>
  <c r="G496" i="21"/>
  <c r="H495" i="21"/>
  <c r="I495" i="21" s="1"/>
  <c r="J495" i="21" s="1"/>
  <c r="K495" i="21" s="1"/>
  <c r="L495" i="21" s="1"/>
  <c r="M495" i="21" s="1"/>
  <c r="F470" i="21"/>
  <c r="E469" i="21"/>
  <c r="F432" i="21"/>
  <c r="E436" i="21"/>
  <c r="E437" i="21" s="1"/>
  <c r="D346" i="20"/>
  <c r="D347" i="20" s="1"/>
  <c r="D348" i="20" s="1"/>
  <c r="D349" i="20" s="1"/>
  <c r="D350" i="20" s="1"/>
  <c r="D351" i="20" s="1"/>
  <c r="D352" i="20" s="1"/>
  <c r="D353" i="20" s="1"/>
  <c r="D354" i="20" s="1"/>
  <c r="D355" i="20" s="1"/>
  <c r="D356" i="20" s="1"/>
  <c r="E356" i="20" s="1"/>
  <c r="E456" i="20"/>
  <c r="E455" i="20"/>
  <c r="E454" i="20"/>
  <c r="E453" i="20"/>
  <c r="F453" i="20" s="1"/>
  <c r="F454" i="20" s="1"/>
  <c r="E449" i="20"/>
  <c r="E448" i="20"/>
  <c r="E447" i="20"/>
  <c r="F447" i="20" s="1"/>
  <c r="E443" i="20"/>
  <c r="E442" i="20"/>
  <c r="F442" i="20" s="1"/>
  <c r="F443" i="20" s="1"/>
  <c r="G442" i="20" s="1"/>
  <c r="G443" i="20" s="1"/>
  <c r="E438" i="20"/>
  <c r="F439" i="20" s="1"/>
  <c r="C58" i="20"/>
  <c r="C61" i="20" s="1"/>
  <c r="C62" i="20" s="1"/>
  <c r="D57" i="20"/>
  <c r="D58" i="20" s="1"/>
  <c r="D60" i="20" s="1"/>
  <c r="G49" i="20"/>
  <c r="I49" i="20" s="1"/>
  <c r="C49" i="20"/>
  <c r="E49" i="20" s="1"/>
  <c r="C375" i="20"/>
  <c r="D390" i="20"/>
  <c r="E390" i="20"/>
  <c r="E392" i="20" s="1"/>
  <c r="E393" i="20" s="1"/>
  <c r="F390" i="20"/>
  <c r="F392" i="20" s="1"/>
  <c r="F393" i="20" s="1"/>
  <c r="G390" i="20"/>
  <c r="G392" i="20" s="1"/>
  <c r="G393" i="20" s="1"/>
  <c r="D392" i="20"/>
  <c r="D393" i="20" s="1"/>
  <c r="C415" i="20"/>
  <c r="C414" i="20"/>
  <c r="C413" i="20"/>
  <c r="D228" i="20"/>
  <c r="D231" i="20" s="1"/>
  <c r="D232" i="20" s="1"/>
  <c r="D235" i="20" s="1"/>
  <c r="D227" i="20"/>
  <c r="E205" i="20"/>
  <c r="E204" i="20"/>
  <c r="E203" i="20"/>
  <c r="E202" i="20"/>
  <c r="E188" i="20"/>
  <c r="E187" i="20"/>
  <c r="E186" i="20"/>
  <c r="E175" i="20"/>
  <c r="E174" i="20"/>
  <c r="E166" i="20"/>
  <c r="C111" i="20"/>
  <c r="C112" i="20" s="1"/>
  <c r="C108" i="20"/>
  <c r="C103" i="20"/>
  <c r="C104" i="20" s="1"/>
  <c r="C105" i="20" s="1"/>
  <c r="C90" i="20"/>
  <c r="C91" i="20" s="1"/>
  <c r="C86" i="20"/>
  <c r="C87" i="20" s="1"/>
  <c r="C75" i="20"/>
  <c r="C76" i="20" s="1"/>
  <c r="C77" i="20" s="1"/>
  <c r="N216" i="41" l="1"/>
  <c r="O216" i="41"/>
  <c r="Q216" i="41" s="1"/>
  <c r="M216" i="41"/>
  <c r="D218" i="41"/>
  <c r="F217" i="41"/>
  <c r="H217" i="41"/>
  <c r="I217" i="41" s="1"/>
  <c r="J95" i="23"/>
  <c r="K94" i="23"/>
  <c r="J64" i="23"/>
  <c r="J69" i="23"/>
  <c r="J70" i="23" s="1"/>
  <c r="J71" i="23" s="1"/>
  <c r="I67" i="23"/>
  <c r="I65" i="23"/>
  <c r="L484" i="21"/>
  <c r="M483" i="21"/>
  <c r="M484" i="21" s="1"/>
  <c r="E526" i="21"/>
  <c r="E527" i="21" s="1"/>
  <c r="F433" i="21"/>
  <c r="F435" i="21"/>
  <c r="F436" i="21" s="1"/>
  <c r="F437" i="21" s="1"/>
  <c r="F526" i="21"/>
  <c r="H519" i="21"/>
  <c r="G518" i="21"/>
  <c r="C610" i="21"/>
  <c r="D610" i="21" s="1"/>
  <c r="H496" i="21"/>
  <c r="G497" i="21"/>
  <c r="G504" i="21" s="1"/>
  <c r="G503" i="21" s="1"/>
  <c r="G505" i="21" s="1"/>
  <c r="F469" i="21"/>
  <c r="G470" i="21"/>
  <c r="G432" i="21"/>
  <c r="E347" i="20"/>
  <c r="E360" i="20" s="1"/>
  <c r="E361" i="20" s="1"/>
  <c r="C60" i="20"/>
  <c r="D61" i="20"/>
  <c r="D62" i="20" s="1"/>
  <c r="F455" i="20"/>
  <c r="F456" i="20" s="1"/>
  <c r="C109" i="20"/>
  <c r="C113" i="20" s="1"/>
  <c r="C115" i="20" s="1"/>
  <c r="C376" i="20" s="1"/>
  <c r="F448" i="20"/>
  <c r="F449" i="20" s="1"/>
  <c r="G447" i="20" s="1"/>
  <c r="G448" i="20" s="1"/>
  <c r="G449" i="20" s="1"/>
  <c r="F450" i="20"/>
  <c r="F444" i="20"/>
  <c r="H442" i="20"/>
  <c r="H443" i="20" s="1"/>
  <c r="F438" i="20"/>
  <c r="G438" i="20" s="1"/>
  <c r="H438" i="20" s="1"/>
  <c r="I438" i="20" s="1"/>
  <c r="J438" i="20" s="1"/>
  <c r="K438" i="20" s="1"/>
  <c r="L438" i="20" s="1"/>
  <c r="M438" i="20" s="1"/>
  <c r="N438" i="20"/>
  <c r="E57" i="20"/>
  <c r="E190" i="20"/>
  <c r="E176" i="20"/>
  <c r="E207" i="20"/>
  <c r="C417" i="20"/>
  <c r="C420" i="20" s="1"/>
  <c r="C421" i="20" s="1"/>
  <c r="D236" i="20"/>
  <c r="D239" i="20" s="1"/>
  <c r="C88" i="20"/>
  <c r="F218" i="41" l="1"/>
  <c r="D219" i="41"/>
  <c r="H218" i="41"/>
  <c r="I218" i="41" s="1"/>
  <c r="O217" i="41"/>
  <c r="Q217" i="41" s="1"/>
  <c r="N217" i="41"/>
  <c r="M217" i="41"/>
  <c r="L217" i="41"/>
  <c r="L94" i="23"/>
  <c r="L95" i="23" s="1"/>
  <c r="K93" i="23"/>
  <c r="K86" i="23" s="1"/>
  <c r="K88" i="23" s="1"/>
  <c r="K89" i="23" s="1"/>
  <c r="K91" i="23" s="1"/>
  <c r="K95" i="23"/>
  <c r="J67" i="23"/>
  <c r="J65" i="23"/>
  <c r="G435" i="21"/>
  <c r="G436" i="21" s="1"/>
  <c r="G437" i="21" s="1"/>
  <c r="G433" i="21"/>
  <c r="F527" i="21"/>
  <c r="G526" i="21"/>
  <c r="H518" i="21"/>
  <c r="I519" i="21"/>
  <c r="C611" i="21"/>
  <c r="D611" i="21" s="1"/>
  <c r="G469" i="21"/>
  <c r="H470" i="21"/>
  <c r="H432" i="21"/>
  <c r="I496" i="21"/>
  <c r="H497" i="21"/>
  <c r="H504" i="21" s="1"/>
  <c r="H503" i="21" s="1"/>
  <c r="H505" i="21" s="1"/>
  <c r="G453" i="20"/>
  <c r="G454" i="20" s="1"/>
  <c r="G455" i="20" s="1"/>
  <c r="G456" i="20" s="1"/>
  <c r="G457" i="20" s="1"/>
  <c r="F457" i="20"/>
  <c r="G439" i="20"/>
  <c r="G444" i="20"/>
  <c r="I442" i="20"/>
  <c r="I443" i="20" s="1"/>
  <c r="F57" i="20"/>
  <c r="E58" i="20"/>
  <c r="E60" i="20" s="1"/>
  <c r="C122" i="20"/>
  <c r="C124" i="20" s="1"/>
  <c r="C126" i="20" s="1"/>
  <c r="C128" i="20" s="1"/>
  <c r="C130" i="20" s="1"/>
  <c r="C132" i="20" s="1"/>
  <c r="C134" i="20" s="1"/>
  <c r="C136" i="20" s="1"/>
  <c r="C138" i="20" s="1"/>
  <c r="C140" i="20" s="1"/>
  <c r="C142" i="20" s="1"/>
  <c r="C144" i="20" s="1"/>
  <c r="C146" i="20" s="1"/>
  <c r="C148" i="20" s="1"/>
  <c r="C150" i="20" s="1"/>
  <c r="C152" i="20" s="1"/>
  <c r="D240" i="20"/>
  <c r="D243" i="20" s="1"/>
  <c r="N218" i="41" l="1"/>
  <c r="O218" i="41"/>
  <c r="Q218" i="41" s="1"/>
  <c r="M218" i="41"/>
  <c r="F219" i="41"/>
  <c r="H219" i="41"/>
  <c r="I219" i="41" s="1"/>
  <c r="D220" i="41"/>
  <c r="L219" i="41"/>
  <c r="L218" i="41"/>
  <c r="H435" i="21"/>
  <c r="H433" i="21"/>
  <c r="J519" i="21"/>
  <c r="I518" i="21"/>
  <c r="G527" i="21"/>
  <c r="H526" i="21"/>
  <c r="C612" i="21"/>
  <c r="D612" i="21" s="1"/>
  <c r="I497" i="21"/>
  <c r="I504" i="21" s="1"/>
  <c r="I503" i="21" s="1"/>
  <c r="I505" i="21" s="1"/>
  <c r="J496" i="21"/>
  <c r="I432" i="21"/>
  <c r="H436" i="21"/>
  <c r="H437" i="21" s="1"/>
  <c r="I470" i="21"/>
  <c r="H469" i="21"/>
  <c r="H453" i="20"/>
  <c r="H454" i="20" s="1"/>
  <c r="H455" i="20" s="1"/>
  <c r="H456" i="20" s="1"/>
  <c r="H444" i="20"/>
  <c r="J442" i="20"/>
  <c r="J443" i="20" s="1"/>
  <c r="H439" i="20"/>
  <c r="F58" i="20"/>
  <c r="F60" i="20" s="1"/>
  <c r="G57" i="20"/>
  <c r="E61" i="20"/>
  <c r="E62" i="20" s="1"/>
  <c r="D244" i="20"/>
  <c r="D247" i="20" s="1"/>
  <c r="H220" i="41" l="1"/>
  <c r="I220" i="41" s="1"/>
  <c r="L220" i="41" s="1"/>
  <c r="D221" i="41"/>
  <c r="F220" i="41"/>
  <c r="N219" i="41"/>
  <c r="O219" i="41"/>
  <c r="Q219" i="41" s="1"/>
  <c r="M219" i="41"/>
  <c r="I433" i="21"/>
  <c r="I435" i="21"/>
  <c r="I436" i="21" s="1"/>
  <c r="I437" i="21" s="1"/>
  <c r="H527" i="21"/>
  <c r="I526" i="21"/>
  <c r="K519" i="21"/>
  <c r="J518" i="21"/>
  <c r="C613" i="21"/>
  <c r="D613" i="21" s="1"/>
  <c r="J470" i="21"/>
  <c r="I469" i="21"/>
  <c r="J497" i="21"/>
  <c r="J504" i="21" s="1"/>
  <c r="J503" i="21" s="1"/>
  <c r="J505" i="21" s="1"/>
  <c r="K496" i="21"/>
  <c r="J432" i="21"/>
  <c r="I453" i="20"/>
  <c r="I454" i="20" s="1"/>
  <c r="I455" i="20" s="1"/>
  <c r="I456" i="20" s="1"/>
  <c r="H457" i="20"/>
  <c r="F61" i="20"/>
  <c r="F62" i="20" s="1"/>
  <c r="I439" i="20"/>
  <c r="I444" i="20"/>
  <c r="K442" i="20"/>
  <c r="K443" i="20" s="1"/>
  <c r="G58" i="20"/>
  <c r="G60" i="20" s="1"/>
  <c r="H57" i="20"/>
  <c r="D248" i="20"/>
  <c r="D251" i="20" s="1"/>
  <c r="D222" i="41" l="1"/>
  <c r="F221" i="41"/>
  <c r="H221" i="41"/>
  <c r="I221" i="41" s="1"/>
  <c r="N220" i="41"/>
  <c r="O220" i="41"/>
  <c r="Q220" i="41" s="1"/>
  <c r="M220" i="41"/>
  <c r="J433" i="21"/>
  <c r="J435" i="21"/>
  <c r="J436" i="21" s="1"/>
  <c r="J437" i="21" s="1"/>
  <c r="I527" i="21"/>
  <c r="J526" i="21"/>
  <c r="L519" i="21"/>
  <c r="K518" i="21"/>
  <c r="C614" i="21"/>
  <c r="D614" i="21" s="1"/>
  <c r="J469" i="21"/>
  <c r="K470" i="21"/>
  <c r="L496" i="21"/>
  <c r="K497" i="21"/>
  <c r="K504" i="21" s="1"/>
  <c r="K503" i="21" s="1"/>
  <c r="K505" i="21" s="1"/>
  <c r="K432" i="21"/>
  <c r="G61" i="20"/>
  <c r="G62" i="20" s="1"/>
  <c r="J453" i="20"/>
  <c r="J454" i="20" s="1"/>
  <c r="J455" i="20" s="1"/>
  <c r="J456" i="20" s="1"/>
  <c r="I457" i="20"/>
  <c r="J439" i="20"/>
  <c r="J444" i="20"/>
  <c r="L442" i="20"/>
  <c r="L443" i="20" s="1"/>
  <c r="I57" i="20"/>
  <c r="H58" i="20"/>
  <c r="H60" i="20" s="1"/>
  <c r="D252" i="20"/>
  <c r="D255" i="20" s="1"/>
  <c r="O221" i="41" l="1"/>
  <c r="Q221" i="41" s="1"/>
  <c r="N221" i="41"/>
  <c r="M221" i="41"/>
  <c r="L221" i="41"/>
  <c r="F222" i="41"/>
  <c r="H222" i="41"/>
  <c r="I222" i="41" s="1"/>
  <c r="D223" i="41"/>
  <c r="K435" i="21"/>
  <c r="K433" i="21"/>
  <c r="J527" i="21"/>
  <c r="K526" i="21"/>
  <c r="L518" i="21"/>
  <c r="M519" i="21"/>
  <c r="K469" i="21"/>
  <c r="L470" i="21"/>
  <c r="L469" i="21" s="1"/>
  <c r="K436" i="21"/>
  <c r="K437" i="21" s="1"/>
  <c r="L432" i="21"/>
  <c r="M496" i="21"/>
  <c r="M497" i="21" s="1"/>
  <c r="M504" i="21" s="1"/>
  <c r="M503" i="21" s="1"/>
  <c r="M505" i="21" s="1"/>
  <c r="L497" i="21"/>
  <c r="L504" i="21" s="1"/>
  <c r="L503" i="21" s="1"/>
  <c r="L505" i="21" s="1"/>
  <c r="K453" i="20"/>
  <c r="K454" i="20" s="1"/>
  <c r="K455" i="20" s="1"/>
  <c r="K456" i="20" s="1"/>
  <c r="J457" i="20"/>
  <c r="K444" i="20"/>
  <c r="M442" i="20"/>
  <c r="M443" i="20" s="1"/>
  <c r="K439" i="20"/>
  <c r="I58" i="20"/>
  <c r="I60" i="20" s="1"/>
  <c r="H61" i="20"/>
  <c r="H62" i="20" s="1"/>
  <c r="D256" i="20"/>
  <c r="D259" i="20" s="1"/>
  <c r="F223" i="41" l="1"/>
  <c r="H223" i="41"/>
  <c r="I223" i="41" s="1"/>
  <c r="L223" i="41" s="1"/>
  <c r="D224" i="41"/>
  <c r="N222" i="41"/>
  <c r="O222" i="41"/>
  <c r="Q222" i="41" s="1"/>
  <c r="M222" i="41"/>
  <c r="L222" i="41"/>
  <c r="L435" i="21"/>
  <c r="L433" i="21"/>
  <c r="N519" i="21"/>
  <c r="N518" i="21" s="1"/>
  <c r="M518" i="21"/>
  <c r="K527" i="21"/>
  <c r="L526" i="21"/>
  <c r="M432" i="21"/>
  <c r="L436" i="21"/>
  <c r="L437" i="21" s="1"/>
  <c r="L453" i="20"/>
  <c r="L454" i="20" s="1"/>
  <c r="L455" i="20" s="1"/>
  <c r="L456" i="20" s="1"/>
  <c r="K457" i="20"/>
  <c r="L439" i="20"/>
  <c r="M439" i="20"/>
  <c r="L444" i="20"/>
  <c r="M444" i="20"/>
  <c r="I61" i="20"/>
  <c r="I62" i="20" s="1"/>
  <c r="D260" i="20"/>
  <c r="D263" i="20" s="1"/>
  <c r="H224" i="41" l="1"/>
  <c r="I224" i="41" s="1"/>
  <c r="D225" i="41"/>
  <c r="L224" i="41"/>
  <c r="F224" i="41"/>
  <c r="N223" i="41"/>
  <c r="O223" i="41"/>
  <c r="Q223" i="41" s="1"/>
  <c r="M223" i="41"/>
  <c r="M435" i="21"/>
  <c r="M433" i="21"/>
  <c r="L527" i="21"/>
  <c r="M526" i="21"/>
  <c r="N432" i="21"/>
  <c r="M436" i="21"/>
  <c r="M437" i="21" s="1"/>
  <c r="M453" i="20"/>
  <c r="M454" i="20" s="1"/>
  <c r="M455" i="20" s="1"/>
  <c r="M456" i="20" s="1"/>
  <c r="M457" i="20" s="1"/>
  <c r="L457" i="20"/>
  <c r="D264" i="20"/>
  <c r="D267" i="20" s="1"/>
  <c r="D226" i="41" l="1"/>
  <c r="F225" i="41"/>
  <c r="H225" i="41"/>
  <c r="I225" i="41" s="1"/>
  <c r="N224" i="41"/>
  <c r="O224" i="41"/>
  <c r="Q224" i="41" s="1"/>
  <c r="M224" i="41"/>
  <c r="N433" i="21"/>
  <c r="N435" i="21"/>
  <c r="N436" i="21" s="1"/>
  <c r="N437" i="21" s="1"/>
  <c r="M527" i="21"/>
  <c r="N526" i="21"/>
  <c r="N527" i="21" s="1"/>
  <c r="O432" i="21"/>
  <c r="D268" i="20"/>
  <c r="D271" i="20" s="1"/>
  <c r="O225" i="41" l="1"/>
  <c r="Q225" i="41" s="1"/>
  <c r="N225" i="41"/>
  <c r="M225" i="41"/>
  <c r="L225" i="41"/>
  <c r="F226" i="41"/>
  <c r="D227" i="41"/>
  <c r="H226" i="41"/>
  <c r="I226" i="41" s="1"/>
  <c r="O435" i="21"/>
  <c r="O436" i="21" s="1"/>
  <c r="O437" i="21" s="1"/>
  <c r="O433" i="21"/>
  <c r="P432" i="21"/>
  <c r="D272" i="20"/>
  <c r="D275" i="20" s="1"/>
  <c r="N226" i="41" l="1"/>
  <c r="O226" i="41"/>
  <c r="Q226" i="41" s="1"/>
  <c r="M226" i="41"/>
  <c r="F227" i="41"/>
  <c r="H227" i="41"/>
  <c r="I227" i="41" s="1"/>
  <c r="L227" i="41" s="1"/>
  <c r="D228" i="41"/>
  <c r="L226" i="41"/>
  <c r="P435" i="21"/>
  <c r="P436" i="21" s="1"/>
  <c r="P437" i="21" s="1"/>
  <c r="P433" i="21"/>
  <c r="Q432" i="21"/>
  <c r="D276" i="20"/>
  <c r="D279" i="20" s="1"/>
  <c r="H228" i="41" l="1"/>
  <c r="I228" i="41" s="1"/>
  <c r="L228" i="41" s="1"/>
  <c r="D229" i="41"/>
  <c r="F228" i="41"/>
  <c r="N227" i="41"/>
  <c r="O227" i="41"/>
  <c r="Q227" i="41" s="1"/>
  <c r="M227" i="41"/>
  <c r="Q433" i="21"/>
  <c r="Q435" i="21"/>
  <c r="Q436" i="21" s="1"/>
  <c r="Q437" i="21" s="1"/>
  <c r="D280" i="20"/>
  <c r="D283" i="20" s="1"/>
  <c r="D230" i="41" l="1"/>
  <c r="H229" i="41"/>
  <c r="I229" i="41" s="1"/>
  <c r="F229" i="41"/>
  <c r="N228" i="41"/>
  <c r="O228" i="41"/>
  <c r="Q228" i="41" s="1"/>
  <c r="M228" i="41"/>
  <c r="D284" i="20"/>
  <c r="D287" i="20" s="1"/>
  <c r="O229" i="41" l="1"/>
  <c r="Q229" i="41" s="1"/>
  <c r="N229" i="41"/>
  <c r="M229" i="41"/>
  <c r="L229" i="41"/>
  <c r="F230" i="41"/>
  <c r="H230" i="41"/>
  <c r="I230" i="41" s="1"/>
  <c r="D231" i="41"/>
  <c r="D288" i="20"/>
  <c r="D291" i="20" s="1"/>
  <c r="D232" i="41" l="1"/>
  <c r="F231" i="41"/>
  <c r="H231" i="41"/>
  <c r="I231" i="41" s="1"/>
  <c r="O230" i="41"/>
  <c r="Q230" i="41" s="1"/>
  <c r="N230" i="41"/>
  <c r="M230" i="41"/>
  <c r="L230" i="41"/>
  <c r="D292" i="20"/>
  <c r="O231" i="41" l="1"/>
  <c r="Q231" i="41" s="1"/>
  <c r="N231" i="41"/>
  <c r="M231" i="41"/>
  <c r="L231" i="41"/>
  <c r="F232" i="41"/>
  <c r="D233" i="41"/>
  <c r="H232" i="41"/>
  <c r="I232" i="41" s="1"/>
  <c r="D253" i="18"/>
  <c r="C285" i="19"/>
  <c r="C284" i="19"/>
  <c r="C288" i="19" s="1"/>
  <c r="B292" i="19" s="1"/>
  <c r="C283" i="19"/>
  <c r="C259" i="19"/>
  <c r="B265" i="19" s="1"/>
  <c r="C258" i="19"/>
  <c r="B264" i="19" s="1"/>
  <c r="C223" i="19"/>
  <c r="C220" i="19"/>
  <c r="C222" i="19" s="1"/>
  <c r="C188" i="19"/>
  <c r="C187" i="19"/>
  <c r="C189" i="19" s="1"/>
  <c r="C191" i="19" s="1"/>
  <c r="C168" i="19"/>
  <c r="C167" i="19"/>
  <c r="C169" i="19" s="1"/>
  <c r="C142" i="19"/>
  <c r="C138" i="19"/>
  <c r="C134" i="19"/>
  <c r="C133" i="19"/>
  <c r="C132" i="19"/>
  <c r="C139" i="19" s="1"/>
  <c r="C144" i="19" s="1"/>
  <c r="C129" i="19"/>
  <c r="C135" i="19" s="1"/>
  <c r="C141" i="19" s="1"/>
  <c r="C145" i="19" s="1"/>
  <c r="C123" i="19"/>
  <c r="C101" i="19"/>
  <c r="C99" i="19"/>
  <c r="C102" i="19" s="1"/>
  <c r="C81" i="19"/>
  <c r="C80" i="19"/>
  <c r="C82" i="19" s="1"/>
  <c r="B84" i="19" s="1"/>
  <c r="C54" i="19"/>
  <c r="B58" i="19" s="1"/>
  <c r="C53" i="19"/>
  <c r="B57" i="19" s="1"/>
  <c r="D39" i="19"/>
  <c r="D38" i="19"/>
  <c r="D36" i="19"/>
  <c r="D35" i="19"/>
  <c r="D17" i="19"/>
  <c r="D19" i="19" s="1"/>
  <c r="D16" i="19"/>
  <c r="D18" i="19" s="1"/>
  <c r="D188" i="18"/>
  <c r="D186" i="18"/>
  <c r="D185" i="18"/>
  <c r="D182" i="18"/>
  <c r="D183" i="18"/>
  <c r="N232" i="41" l="1"/>
  <c r="O232" i="41"/>
  <c r="Q232" i="41" s="1"/>
  <c r="M232" i="41"/>
  <c r="F233" i="41"/>
  <c r="H233" i="41"/>
  <c r="I233" i="41" s="1"/>
  <c r="D234" i="41"/>
  <c r="L233" i="41"/>
  <c r="L232" i="41"/>
  <c r="C286" i="19"/>
  <c r="C289" i="19" s="1"/>
  <c r="B291" i="19" s="1"/>
  <c r="C261" i="19"/>
  <c r="B266" i="19" s="1"/>
  <c r="C225" i="19"/>
  <c r="C147" i="19"/>
  <c r="B149" i="19" s="1"/>
  <c r="B150" i="19"/>
  <c r="D20" i="19"/>
  <c r="C55" i="19"/>
  <c r="B59" i="19" s="1"/>
  <c r="E218" i="18"/>
  <c r="E219" i="18" s="1"/>
  <c r="E224" i="18"/>
  <c r="D163" i="18"/>
  <c r="D155" i="18"/>
  <c r="D158" i="18" s="1"/>
  <c r="D159" i="18" s="1"/>
  <c r="E211" i="18"/>
  <c r="E204" i="18"/>
  <c r="E205" i="18" s="1"/>
  <c r="D125" i="18"/>
  <c r="D129" i="18" s="1"/>
  <c r="D130" i="18" s="1"/>
  <c r="D131" i="18" s="1"/>
  <c r="D132" i="18" s="1"/>
  <c r="D133" i="18" s="1"/>
  <c r="D135" i="18" s="1"/>
  <c r="D110" i="18"/>
  <c r="D111" i="18" s="1"/>
  <c r="D112" i="18" s="1"/>
  <c r="D113" i="18" s="1"/>
  <c r="D115" i="18" s="1"/>
  <c r="D116" i="18" s="1"/>
  <c r="D117" i="18" s="1"/>
  <c r="E93" i="18"/>
  <c r="E94" i="18" s="1"/>
  <c r="I86" i="18"/>
  <c r="I87" i="18" s="1"/>
  <c r="I88" i="18" s="1"/>
  <c r="F68" i="18"/>
  <c r="D68" i="18"/>
  <c r="F67" i="18"/>
  <c r="D67" i="18"/>
  <c r="F51" i="18"/>
  <c r="F52" i="18" s="1"/>
  <c r="F53" i="18" s="1"/>
  <c r="F54" i="18" s="1"/>
  <c r="D51" i="18"/>
  <c r="D52" i="18" s="1"/>
  <c r="D53" i="18" s="1"/>
  <c r="D54" i="18" s="1"/>
  <c r="D56" i="18" s="1"/>
  <c r="D58" i="18" s="1"/>
  <c r="D235" i="18"/>
  <c r="E235" i="18" s="1"/>
  <c r="E234" i="18"/>
  <c r="C119" i="17"/>
  <c r="C122" i="17" s="1"/>
  <c r="C125" i="17" s="1"/>
  <c r="C133" i="17" s="1"/>
  <c r="C136" i="17" s="1"/>
  <c r="C99" i="17"/>
  <c r="C102" i="17" s="1"/>
  <c r="C98" i="17"/>
  <c r="C101" i="17" s="1"/>
  <c r="B104" i="17" s="1"/>
  <c r="C96" i="17"/>
  <c r="C79" i="17"/>
  <c r="C77" i="17"/>
  <c r="C80" i="17" s="1"/>
  <c r="C76" i="17"/>
  <c r="C73" i="17"/>
  <c r="C71" i="17"/>
  <c r="C74" i="17" s="1"/>
  <c r="C70" i="17"/>
  <c r="C49" i="17"/>
  <c r="C46" i="17"/>
  <c r="C45" i="17"/>
  <c r="C43" i="17"/>
  <c r="C44" i="17" s="1"/>
  <c r="C48" i="17" s="1"/>
  <c r="C40" i="17"/>
  <c r="C30" i="17"/>
  <c r="C28" i="17"/>
  <c r="C31" i="17" s="1"/>
  <c r="C27" i="17"/>
  <c r="C24" i="17"/>
  <c r="C22" i="17"/>
  <c r="C25" i="17" s="1"/>
  <c r="C21" i="17"/>
  <c r="L149" i="15"/>
  <c r="L148" i="15"/>
  <c r="J149" i="15"/>
  <c r="J148" i="15"/>
  <c r="J147" i="15"/>
  <c r="J146" i="15"/>
  <c r="M149" i="15"/>
  <c r="K149" i="15"/>
  <c r="K148" i="15"/>
  <c r="K147" i="15"/>
  <c r="I146" i="15"/>
  <c r="I147" i="15"/>
  <c r="I148" i="15"/>
  <c r="I149" i="15"/>
  <c r="I145" i="15"/>
  <c r="H145" i="15"/>
  <c r="H146" i="15"/>
  <c r="H147" i="15"/>
  <c r="H148" i="15"/>
  <c r="H149" i="15"/>
  <c r="H144" i="15"/>
  <c r="G145" i="15"/>
  <c r="G146" i="15"/>
  <c r="G147" i="15"/>
  <c r="G148" i="15"/>
  <c r="G149" i="15"/>
  <c r="G144" i="15"/>
  <c r="M140" i="15"/>
  <c r="M139" i="15"/>
  <c r="K140" i="15"/>
  <c r="K139" i="15"/>
  <c r="K138" i="15"/>
  <c r="K137" i="15"/>
  <c r="I136" i="15"/>
  <c r="I137" i="15"/>
  <c r="I138" i="15"/>
  <c r="I139" i="15"/>
  <c r="I140" i="15"/>
  <c r="I135" i="15"/>
  <c r="N140" i="15"/>
  <c r="L140" i="15"/>
  <c r="L139" i="15"/>
  <c r="L138" i="15"/>
  <c r="J140" i="15"/>
  <c r="J139" i="15"/>
  <c r="J138" i="15"/>
  <c r="J137" i="15"/>
  <c r="J136" i="15"/>
  <c r="H135" i="15"/>
  <c r="H136" i="15"/>
  <c r="H137" i="15"/>
  <c r="H138" i="15"/>
  <c r="H139" i="15"/>
  <c r="H140" i="15"/>
  <c r="H134" i="15"/>
  <c r="G134" i="15"/>
  <c r="G135" i="15"/>
  <c r="G136" i="15"/>
  <c r="G137" i="15"/>
  <c r="G138" i="15"/>
  <c r="G139" i="15"/>
  <c r="G140" i="15"/>
  <c r="G133" i="15"/>
  <c r="M98" i="15"/>
  <c r="G168" i="15"/>
  <c r="G169" i="15" s="1"/>
  <c r="G170" i="15" s="1"/>
  <c r="G171" i="15" s="1"/>
  <c r="G172" i="15" s="1"/>
  <c r="G173" i="15" s="1"/>
  <c r="G174" i="15" s="1"/>
  <c r="G175" i="15" s="1"/>
  <c r="G159" i="15"/>
  <c r="G155" i="15"/>
  <c r="G156" i="15" s="1"/>
  <c r="S135" i="15"/>
  <c r="S134" i="15"/>
  <c r="S133" i="15"/>
  <c r="K124" i="15"/>
  <c r="K113" i="15"/>
  <c r="K112" i="15"/>
  <c r="K103" i="15"/>
  <c r="K106" i="15" s="1"/>
  <c r="K123" i="15" s="1"/>
  <c r="K126" i="15" s="1"/>
  <c r="K99" i="15"/>
  <c r="K115" i="15" s="1"/>
  <c r="K98" i="15"/>
  <c r="C192" i="16"/>
  <c r="C197" i="16" s="1"/>
  <c r="C200" i="16" s="1"/>
  <c r="C191" i="16"/>
  <c r="C196" i="16" s="1"/>
  <c r="C190" i="16"/>
  <c r="C195" i="16" s="1"/>
  <c r="C188" i="16"/>
  <c r="C193" i="16" s="1"/>
  <c r="C198" i="16" s="1"/>
  <c r="C201" i="16" s="1"/>
  <c r="H154" i="16"/>
  <c r="F154" i="16"/>
  <c r="D154" i="16"/>
  <c r="F153" i="16"/>
  <c r="D153" i="16"/>
  <c r="F152" i="16"/>
  <c r="D152" i="16"/>
  <c r="D151" i="16"/>
  <c r="D150" i="16"/>
  <c r="H144" i="16"/>
  <c r="F144" i="16"/>
  <c r="D144" i="16"/>
  <c r="F143" i="16"/>
  <c r="D143" i="16"/>
  <c r="F142" i="16"/>
  <c r="D142" i="16"/>
  <c r="D141" i="16"/>
  <c r="D140" i="16"/>
  <c r="C132" i="16"/>
  <c r="C130" i="16"/>
  <c r="C131" i="16" s="1"/>
  <c r="C106" i="16"/>
  <c r="C112" i="16" s="1"/>
  <c r="C116" i="16" s="1"/>
  <c r="C117" i="16" s="1"/>
  <c r="C118" i="16" s="1"/>
  <c r="C95" i="16"/>
  <c r="C97" i="16" s="1"/>
  <c r="E84" i="16"/>
  <c r="F84" i="16" s="1"/>
  <c r="G84" i="16" s="1"/>
  <c r="D83" i="16"/>
  <c r="E83" i="16" s="1"/>
  <c r="F83" i="16" s="1"/>
  <c r="G83" i="16" s="1"/>
  <c r="H83" i="16" s="1"/>
  <c r="I83" i="16" s="1"/>
  <c r="J83" i="16" s="1"/>
  <c r="K83" i="16" s="1"/>
  <c r="L83" i="16" s="1"/>
  <c r="M83" i="16" s="1"/>
  <c r="D57" i="16"/>
  <c r="H49" i="16"/>
  <c r="F49" i="16"/>
  <c r="D49" i="16"/>
  <c r="F48" i="16"/>
  <c r="D48" i="16"/>
  <c r="F47" i="16"/>
  <c r="D47" i="16"/>
  <c r="D46" i="16"/>
  <c r="D45" i="16"/>
  <c r="C36" i="16"/>
  <c r="C37" i="16" s="1"/>
  <c r="C38" i="16" s="1"/>
  <c r="C29" i="16"/>
  <c r="H58" i="16" s="1"/>
  <c r="C25" i="16"/>
  <c r="C26" i="16" s="1"/>
  <c r="D67" i="15"/>
  <c r="D66" i="15"/>
  <c r="D65" i="15"/>
  <c r="D64" i="15"/>
  <c r="D63" i="15"/>
  <c r="D62" i="15"/>
  <c r="D61" i="15"/>
  <c r="D60" i="15"/>
  <c r="D59" i="15"/>
  <c r="D58" i="15"/>
  <c r="K54" i="15"/>
  <c r="I54" i="15"/>
  <c r="G54" i="15"/>
  <c r="E54" i="15"/>
  <c r="I53" i="15"/>
  <c r="G53" i="15"/>
  <c r="E53" i="15"/>
  <c r="I52" i="15"/>
  <c r="G52" i="15"/>
  <c r="E52" i="15"/>
  <c r="G51" i="15"/>
  <c r="E51" i="15"/>
  <c r="G50" i="15"/>
  <c r="E50" i="15"/>
  <c r="E49" i="15"/>
  <c r="E48" i="15"/>
  <c r="H34" i="15"/>
  <c r="H33" i="15"/>
  <c r="Y32" i="15"/>
  <c r="Y31" i="15"/>
  <c r="Y30" i="15"/>
  <c r="Y29" i="15"/>
  <c r="Y28" i="15"/>
  <c r="Y27" i="15"/>
  <c r="H27" i="15"/>
  <c r="H30" i="15" s="1"/>
  <c r="Y26" i="15"/>
  <c r="Y25" i="15"/>
  <c r="Y24" i="15"/>
  <c r="Y23" i="15"/>
  <c r="H23" i="15"/>
  <c r="H35" i="15" s="1"/>
  <c r="H36" i="15" s="1"/>
  <c r="J22" i="15"/>
  <c r="H22" i="15"/>
  <c r="Y16" i="15"/>
  <c r="Y15" i="15"/>
  <c r="Y14" i="15"/>
  <c r="Y13" i="15"/>
  <c r="Y12" i="15"/>
  <c r="Y11" i="15"/>
  <c r="Y10" i="15"/>
  <c r="Y9" i="15"/>
  <c r="C50" i="13"/>
  <c r="C48" i="13"/>
  <c r="C49" i="13" s="1"/>
  <c r="C47" i="13"/>
  <c r="C46" i="13"/>
  <c r="C44" i="13"/>
  <c r="B17" i="13"/>
  <c r="B15" i="13"/>
  <c r="C13" i="13"/>
  <c r="C12" i="13"/>
  <c r="B16" i="13" s="1"/>
  <c r="C11" i="13"/>
  <c r="E130" i="12"/>
  <c r="D130" i="12"/>
  <c r="D128" i="12"/>
  <c r="D126" i="12"/>
  <c r="D114" i="12"/>
  <c r="C122" i="12" s="1"/>
  <c r="B114" i="12"/>
  <c r="E122" i="12" s="1"/>
  <c r="C112" i="12"/>
  <c r="D110" i="12"/>
  <c r="D116" i="12" s="1"/>
  <c r="G116" i="12" s="1"/>
  <c r="B110" i="12"/>
  <c r="E126" i="12" s="1"/>
  <c r="J254" i="10"/>
  <c r="J252" i="10"/>
  <c r="J251" i="10"/>
  <c r="D251" i="10"/>
  <c r="C242" i="10"/>
  <c r="C245" i="10" s="1"/>
  <c r="C246" i="10" s="1"/>
  <c r="E241" i="10"/>
  <c r="E236" i="10"/>
  <c r="E237" i="10" s="1"/>
  <c r="E242" i="10" s="1"/>
  <c r="E245" i="10" s="1"/>
  <c r="E246" i="10" s="1"/>
  <c r="C236" i="10"/>
  <c r="C237" i="10" s="1"/>
  <c r="J234" i="10"/>
  <c r="J236" i="10" s="1"/>
  <c r="J237" i="10" s="1"/>
  <c r="H234" i="10"/>
  <c r="H236" i="10" s="1"/>
  <c r="H237" i="10" s="1"/>
  <c r="I238" i="10" s="1"/>
  <c r="J233" i="10"/>
  <c r="J242" i="10" s="1"/>
  <c r="H233" i="10"/>
  <c r="H242" i="10" s="1"/>
  <c r="C168" i="10"/>
  <c r="C164" i="10"/>
  <c r="C163" i="10"/>
  <c r="C165" i="10" s="1"/>
  <c r="C166" i="10" s="1"/>
  <c r="C170" i="10" s="1"/>
  <c r="C171" i="10" s="1"/>
  <c r="C161" i="10"/>
  <c r="C159" i="10"/>
  <c r="C160" i="10" s="1"/>
  <c r="C157" i="10"/>
  <c r="C156" i="10"/>
  <c r="C139" i="10"/>
  <c r="C132" i="10"/>
  <c r="C129" i="10"/>
  <c r="C125" i="10"/>
  <c r="C133" i="10" s="1"/>
  <c r="C124" i="10"/>
  <c r="C123" i="10"/>
  <c r="C126" i="10" s="1"/>
  <c r="C122" i="10"/>
  <c r="F118" i="10"/>
  <c r="F116" i="10"/>
  <c r="F129" i="10" s="1"/>
  <c r="F115" i="10"/>
  <c r="F132" i="10" s="1"/>
  <c r="F113" i="10"/>
  <c r="F112" i="10"/>
  <c r="C100" i="10"/>
  <c r="C96" i="10"/>
  <c r="C101" i="10" s="1"/>
  <c r="C103" i="10" s="1"/>
  <c r="H88" i="10"/>
  <c r="H87" i="10"/>
  <c r="H86" i="10"/>
  <c r="F85" i="10"/>
  <c r="H85" i="10" s="1"/>
  <c r="E85" i="10"/>
  <c r="E84" i="10"/>
  <c r="C73" i="10"/>
  <c r="C74" i="10" s="1"/>
  <c r="C76" i="10" s="1"/>
  <c r="C72" i="10"/>
  <c r="C78" i="10" s="1"/>
  <c r="C79" i="10" s="1"/>
  <c r="C59" i="10"/>
  <c r="C56" i="10"/>
  <c r="C55" i="10"/>
  <c r="C58" i="10" s="1"/>
  <c r="C61" i="10" s="1"/>
  <c r="B64" i="10" s="1"/>
  <c r="C33" i="10"/>
  <c r="C34" i="10" s="1"/>
  <c r="C35" i="10" s="1"/>
  <c r="B43" i="10" s="1"/>
  <c r="C31" i="10"/>
  <c r="B18" i="9"/>
  <c r="B17" i="9"/>
  <c r="B16" i="9"/>
  <c r="C26" i="8"/>
  <c r="C27" i="8" s="1"/>
  <c r="C17" i="8"/>
  <c r="C15" i="8"/>
  <c r="C13" i="8"/>
  <c r="C12" i="8"/>
  <c r="C27" i="7"/>
  <c r="D25" i="7"/>
  <c r="D30" i="7" s="1"/>
  <c r="C15" i="7"/>
  <c r="E15" i="7" s="1"/>
  <c r="C9" i="7"/>
  <c r="D27" i="7" l="1"/>
  <c r="D32" i="7" s="1"/>
  <c r="H234" i="41"/>
  <c r="I234" i="41" s="1"/>
  <c r="L234" i="41" s="1"/>
  <c r="D235" i="41"/>
  <c r="F234" i="41"/>
  <c r="N233" i="41"/>
  <c r="O233" i="41"/>
  <c r="Q233" i="41" s="1"/>
  <c r="M233" i="41"/>
  <c r="H86" i="18"/>
  <c r="H87" i="18" s="1"/>
  <c r="H88" i="18" s="1"/>
  <c r="D70" i="18"/>
  <c r="F56" i="18"/>
  <c r="F58" i="18" s="1"/>
  <c r="F70" i="18"/>
  <c r="D164" i="18"/>
  <c r="D165" i="18" s="1"/>
  <c r="D166" i="18" s="1"/>
  <c r="D167" i="18" s="1"/>
  <c r="D168" i="18" s="1"/>
  <c r="G86" i="18"/>
  <c r="G87" i="18" s="1"/>
  <c r="G88" i="18" s="1"/>
  <c r="E95" i="18"/>
  <c r="D236" i="18"/>
  <c r="F42" i="17"/>
  <c r="B52" i="17"/>
  <c r="F43" i="17"/>
  <c r="F47" i="17" s="1"/>
  <c r="C121" i="17"/>
  <c r="C124" i="17" s="1"/>
  <c r="S136" i="15"/>
  <c r="S137" i="15"/>
  <c r="S140" i="15"/>
  <c r="S138" i="15"/>
  <c r="S147" i="15"/>
  <c r="S149" i="15"/>
  <c r="G179" i="15"/>
  <c r="G180" i="15" s="1"/>
  <c r="G181" i="15" s="1"/>
  <c r="G182" i="15" s="1"/>
  <c r="G183" i="15" s="1"/>
  <c r="G184" i="15" s="1"/>
  <c r="S144" i="15"/>
  <c r="S145" i="15"/>
  <c r="S139" i="15"/>
  <c r="S146" i="15"/>
  <c r="D56" i="16"/>
  <c r="D54" i="16"/>
  <c r="F58" i="16"/>
  <c r="D55" i="16"/>
  <c r="C133" i="16"/>
  <c r="E154" i="16" s="1"/>
  <c r="C204" i="16"/>
  <c r="C208" i="16" s="1"/>
  <c r="C211" i="16" s="1"/>
  <c r="C212" i="16" s="1"/>
  <c r="C213" i="16" s="1"/>
  <c r="C214" i="16" s="1"/>
  <c r="C215" i="16" s="1"/>
  <c r="C216" i="16" s="1"/>
  <c r="C217" i="16" s="1"/>
  <c r="C205" i="16"/>
  <c r="C209" i="16" s="1"/>
  <c r="C219" i="16" s="1"/>
  <c r="C220" i="16" s="1"/>
  <c r="C221" i="16" s="1"/>
  <c r="C222" i="16" s="1"/>
  <c r="C223" i="16" s="1"/>
  <c r="C224" i="16" s="1"/>
  <c r="C225" i="16" s="1"/>
  <c r="E46" i="16"/>
  <c r="E49" i="16"/>
  <c r="G48" i="16"/>
  <c r="C48" i="16"/>
  <c r="I48" i="16" s="1"/>
  <c r="C45" i="16"/>
  <c r="I45" i="16" s="1"/>
  <c r="C47" i="16"/>
  <c r="C46" i="16"/>
  <c r="G49" i="16"/>
  <c r="C49" i="16"/>
  <c r="E48" i="16"/>
  <c r="C44" i="16"/>
  <c r="I44" i="16" s="1"/>
  <c r="E47" i="16"/>
  <c r="C40" i="16"/>
  <c r="J67" i="15"/>
  <c r="H64" i="15"/>
  <c r="H40" i="15"/>
  <c r="L66" i="15"/>
  <c r="H66" i="15"/>
  <c r="J65" i="15"/>
  <c r="F65" i="15"/>
  <c r="F62" i="15"/>
  <c r="H61" i="15"/>
  <c r="L67" i="15"/>
  <c r="H67" i="15"/>
  <c r="J64" i="15"/>
  <c r="F64" i="15"/>
  <c r="J63" i="15"/>
  <c r="F63" i="15"/>
  <c r="J66" i="15"/>
  <c r="F66" i="15"/>
  <c r="L65" i="15"/>
  <c r="H65" i="15"/>
  <c r="H62" i="15"/>
  <c r="F61" i="15"/>
  <c r="N67" i="15"/>
  <c r="F67" i="15"/>
  <c r="H63" i="15"/>
  <c r="F60" i="15"/>
  <c r="F59" i="15"/>
  <c r="K65" i="15"/>
  <c r="E61" i="15"/>
  <c r="E58" i="15"/>
  <c r="P58" i="15" s="1"/>
  <c r="F54" i="15"/>
  <c r="D50" i="15"/>
  <c r="P50" i="15" s="1"/>
  <c r="H52" i="15"/>
  <c r="D47" i="15"/>
  <c r="P47" i="15" s="1"/>
  <c r="M67" i="15"/>
  <c r="I67" i="15"/>
  <c r="E67" i="15"/>
  <c r="K64" i="15"/>
  <c r="G64" i="15"/>
  <c r="G63" i="15"/>
  <c r="E60" i="15"/>
  <c r="E59" i="15"/>
  <c r="D52" i="15"/>
  <c r="K66" i="15"/>
  <c r="G66" i="15"/>
  <c r="I65" i="15"/>
  <c r="E65" i="15"/>
  <c r="I62" i="15"/>
  <c r="E62" i="15"/>
  <c r="G61" i="15"/>
  <c r="H54" i="15"/>
  <c r="D54" i="15"/>
  <c r="H53" i="15"/>
  <c r="D53" i="15"/>
  <c r="F50" i="15"/>
  <c r="F49" i="15"/>
  <c r="K67" i="15"/>
  <c r="G67" i="15"/>
  <c r="I64" i="15"/>
  <c r="E64" i="15"/>
  <c r="I63" i="15"/>
  <c r="E63" i="15"/>
  <c r="G60" i="15"/>
  <c r="F52" i="15"/>
  <c r="H51" i="15"/>
  <c r="D51" i="15"/>
  <c r="D48" i="15"/>
  <c r="P48" i="15" s="1"/>
  <c r="H41" i="15"/>
  <c r="M66" i="15"/>
  <c r="I66" i="15"/>
  <c r="E66" i="15"/>
  <c r="G65" i="15"/>
  <c r="G62" i="15"/>
  <c r="J54" i="15"/>
  <c r="J53" i="15"/>
  <c r="F53" i="15"/>
  <c r="D49" i="15"/>
  <c r="F51" i="15"/>
  <c r="G153" i="16"/>
  <c r="C150" i="16"/>
  <c r="J150" i="16" s="1"/>
  <c r="C141" i="16"/>
  <c r="C151" i="16"/>
  <c r="C144" i="16"/>
  <c r="C139" i="16"/>
  <c r="J139" i="16" s="1"/>
  <c r="C154" i="16"/>
  <c r="C149" i="16"/>
  <c r="J149" i="16" s="1"/>
  <c r="E141" i="16"/>
  <c r="E152" i="16"/>
  <c r="E144" i="16"/>
  <c r="C143" i="16"/>
  <c r="F56" i="16"/>
  <c r="H84" i="16"/>
  <c r="F57" i="16"/>
  <c r="D58" i="16"/>
  <c r="E128" i="12"/>
  <c r="C120" i="12"/>
  <c r="G110" i="12"/>
  <c r="C126" i="12" s="1"/>
  <c r="C130" i="12" s="1"/>
  <c r="G114" i="12"/>
  <c r="C128" i="12" s="1"/>
  <c r="E120" i="12"/>
  <c r="D247" i="10"/>
  <c r="D238" i="10"/>
  <c r="D249" i="10" s="1"/>
  <c r="D252" i="10" s="1"/>
  <c r="D254" i="10" s="1"/>
  <c r="D255" i="10" s="1"/>
  <c r="C241" i="10"/>
  <c r="I251" i="10"/>
  <c r="H241" i="10"/>
  <c r="H245" i="10" s="1"/>
  <c r="H246" i="10" s="1"/>
  <c r="I247" i="10" s="1"/>
  <c r="I249" i="10" s="1"/>
  <c r="I252" i="10" s="1"/>
  <c r="J241" i="10"/>
  <c r="J245" i="10" s="1"/>
  <c r="J246" i="10" s="1"/>
  <c r="H84" i="10"/>
  <c r="F134" i="10"/>
  <c r="C134" i="10"/>
  <c r="C128" i="10"/>
  <c r="B63" i="10"/>
  <c r="E83" i="10"/>
  <c r="H83" i="10" s="1"/>
  <c r="F84" i="10"/>
  <c r="F83" i="10" s="1"/>
  <c r="F133" i="10"/>
  <c r="F139" i="10"/>
  <c r="F122" i="10"/>
  <c r="F123" i="10" s="1"/>
  <c r="F126" i="10" s="1"/>
  <c r="F124" i="10"/>
  <c r="F125" i="10" s="1"/>
  <c r="G15" i="7"/>
  <c r="I15" i="7" s="1"/>
  <c r="E14" i="7"/>
  <c r="E25" i="7"/>
  <c r="C29" i="8"/>
  <c r="D236" i="41" l="1"/>
  <c r="H235" i="41"/>
  <c r="I235" i="41" s="1"/>
  <c r="F235" i="41"/>
  <c r="N234" i="41"/>
  <c r="O234" i="41"/>
  <c r="Q234" i="41" s="1"/>
  <c r="M234" i="41"/>
  <c r="E96" i="18"/>
  <c r="E86" i="18" s="1"/>
  <c r="E87" i="18" s="1"/>
  <c r="E88" i="18" s="1"/>
  <c r="F86" i="18"/>
  <c r="F87" i="18" s="1"/>
  <c r="F88" i="18" s="1"/>
  <c r="E236" i="18"/>
  <c r="D237" i="18"/>
  <c r="F49" i="17"/>
  <c r="F46" i="17"/>
  <c r="C126" i="17"/>
  <c r="B128" i="17" s="1"/>
  <c r="C132" i="17"/>
  <c r="C135" i="17" s="1"/>
  <c r="B138" i="17" s="1"/>
  <c r="H42" i="15"/>
  <c r="P66" i="15"/>
  <c r="P51" i="15"/>
  <c r="P63" i="15"/>
  <c r="P53" i="15"/>
  <c r="P59" i="15"/>
  <c r="P64" i="15"/>
  <c r="P49" i="15"/>
  <c r="P60" i="15"/>
  <c r="P67" i="15"/>
  <c r="P61" i="15"/>
  <c r="S148" i="15"/>
  <c r="G143" i="16"/>
  <c r="J143" i="16" s="1"/>
  <c r="C134" i="16"/>
  <c r="E153" i="16"/>
  <c r="E143" i="16"/>
  <c r="C152" i="16"/>
  <c r="J152" i="16" s="1"/>
  <c r="C153" i="16"/>
  <c r="I49" i="16"/>
  <c r="C140" i="16"/>
  <c r="J140" i="16" s="1"/>
  <c r="E151" i="16"/>
  <c r="J151" i="16" s="1"/>
  <c r="E142" i="16"/>
  <c r="G154" i="16"/>
  <c r="J154" i="16" s="1"/>
  <c r="G144" i="16"/>
  <c r="C142" i="16"/>
  <c r="J142" i="16" s="1"/>
  <c r="G58" i="16"/>
  <c r="E56" i="16"/>
  <c r="E55" i="16"/>
  <c r="E58" i="16"/>
  <c r="G57" i="16"/>
  <c r="C57" i="16"/>
  <c r="C54" i="16"/>
  <c r="I54" i="16" s="1"/>
  <c r="C56" i="16"/>
  <c r="C55" i="16"/>
  <c r="C58" i="16"/>
  <c r="E57" i="16"/>
  <c r="C53" i="16"/>
  <c r="I53" i="16" s="1"/>
  <c r="P62" i="15"/>
  <c r="J153" i="16"/>
  <c r="P54" i="15"/>
  <c r="I46" i="16"/>
  <c r="J144" i="16"/>
  <c r="J141" i="16"/>
  <c r="P65" i="15"/>
  <c r="P52" i="15"/>
  <c r="I84" i="16"/>
  <c r="J84" i="16" s="1"/>
  <c r="I47" i="16"/>
  <c r="I254" i="10"/>
  <c r="I255" i="10" s="1"/>
  <c r="C136" i="10"/>
  <c r="C130" i="10"/>
  <c r="C138" i="10" s="1"/>
  <c r="C141" i="10" s="1"/>
  <c r="F128" i="10"/>
  <c r="E27" i="7"/>
  <c r="E32" i="7" s="1"/>
  <c r="F25" i="7"/>
  <c r="E30" i="7"/>
  <c r="O235" i="41" l="1"/>
  <c r="Q235" i="41" s="1"/>
  <c r="N235" i="41"/>
  <c r="M235" i="41"/>
  <c r="L235" i="41"/>
  <c r="F236" i="41"/>
  <c r="H236" i="41"/>
  <c r="I236" i="41" s="1"/>
  <c r="D237" i="41"/>
  <c r="E237" i="18"/>
  <c r="D238" i="18"/>
  <c r="I58" i="16"/>
  <c r="I57" i="16"/>
  <c r="K84" i="16"/>
  <c r="I55" i="16"/>
  <c r="I56" i="16"/>
  <c r="F136" i="10"/>
  <c r="F130" i="10"/>
  <c r="F138" i="10" s="1"/>
  <c r="F141" i="10" s="1"/>
  <c r="F30" i="7"/>
  <c r="F27" i="7"/>
  <c r="F32" i="7" s="1"/>
  <c r="G25" i="7"/>
  <c r="F237" i="41" l="1"/>
  <c r="H237" i="41"/>
  <c r="I237" i="41" s="1"/>
  <c r="L237" i="41" s="1"/>
  <c r="D238" i="41"/>
  <c r="O236" i="41"/>
  <c r="Q236" i="41" s="1"/>
  <c r="N236" i="41"/>
  <c r="M236" i="41"/>
  <c r="L236" i="41"/>
  <c r="E238" i="18"/>
  <c r="D239" i="18"/>
  <c r="L84" i="16"/>
  <c r="M84" i="16" s="1"/>
  <c r="G30" i="7"/>
  <c r="H25" i="7"/>
  <c r="G27" i="7"/>
  <c r="G32" i="7" s="1"/>
  <c r="H238" i="41" l="1"/>
  <c r="I238" i="41" s="1"/>
  <c r="D239" i="41"/>
  <c r="L238" i="41"/>
  <c r="F238" i="41"/>
  <c r="N237" i="41"/>
  <c r="O237" i="41"/>
  <c r="Q237" i="41" s="1"/>
  <c r="M237" i="41"/>
  <c r="E239" i="18"/>
  <c r="D240" i="18"/>
  <c r="H30" i="7"/>
  <c r="I25" i="7"/>
  <c r="I27" i="7" s="1"/>
  <c r="H27" i="7"/>
  <c r="H32" i="7" s="1"/>
  <c r="D240" i="41" l="1"/>
  <c r="F239" i="41"/>
  <c r="H239" i="41"/>
  <c r="I239" i="41" s="1"/>
  <c r="N238" i="41"/>
  <c r="O238" i="41"/>
  <c r="Q238" i="41" s="1"/>
  <c r="M238" i="41"/>
  <c r="D241" i="18"/>
  <c r="E240" i="18"/>
  <c r="O239" i="41" l="1"/>
  <c r="Q239" i="41" s="1"/>
  <c r="N239" i="41"/>
  <c r="M239" i="41"/>
  <c r="L239" i="41"/>
  <c r="F240" i="41"/>
  <c r="D241" i="41"/>
  <c r="H240" i="41"/>
  <c r="I240" i="41" s="1"/>
  <c r="E241" i="18"/>
  <c r="D242" i="18"/>
  <c r="N240" i="41" l="1"/>
  <c r="O240" i="41"/>
  <c r="Q240" i="41" s="1"/>
  <c r="M240" i="41"/>
  <c r="F241" i="41"/>
  <c r="H241" i="41"/>
  <c r="I241" i="41" s="1"/>
  <c r="D242" i="41"/>
  <c r="L241" i="41"/>
  <c r="L240" i="41"/>
  <c r="E242" i="18"/>
  <c r="D243" i="18"/>
  <c r="H242" i="41" l="1"/>
  <c r="I242" i="41" s="1"/>
  <c r="L242" i="41" s="1"/>
  <c r="D243" i="41"/>
  <c r="F242" i="41"/>
  <c r="N241" i="41"/>
  <c r="O241" i="41"/>
  <c r="Q241" i="41" s="1"/>
  <c r="M241" i="41"/>
  <c r="E243" i="18"/>
  <c r="D244" i="18"/>
  <c r="E244" i="18" s="1"/>
  <c r="D244" i="41" l="1"/>
  <c r="H243" i="41"/>
  <c r="I243" i="41" s="1"/>
  <c r="F243" i="41"/>
  <c r="N242" i="41"/>
  <c r="O242" i="41"/>
  <c r="Q242" i="41" s="1"/>
  <c r="M242" i="41"/>
  <c r="C10" i="6"/>
  <c r="C12" i="6" s="1"/>
  <c r="O243" i="41" l="1"/>
  <c r="Q243" i="41" s="1"/>
  <c r="N243" i="41"/>
  <c r="M243" i="41"/>
  <c r="L243" i="41"/>
  <c r="F244" i="41"/>
  <c r="H244" i="41"/>
  <c r="I244" i="41" s="1"/>
  <c r="D245" i="41"/>
  <c r="C50" i="3"/>
  <c r="C51" i="3" s="1"/>
  <c r="D49" i="3"/>
  <c r="E49" i="3" s="1"/>
  <c r="F49" i="3" s="1"/>
  <c r="G49" i="3" s="1"/>
  <c r="H49" i="3" s="1"/>
  <c r="I49" i="3" s="1"/>
  <c r="J49" i="3" s="1"/>
  <c r="K49" i="3" s="1"/>
  <c r="C33" i="3"/>
  <c r="D32" i="3"/>
  <c r="F245" i="41" l="1"/>
  <c r="H245" i="41"/>
  <c r="I245" i="41" s="1"/>
  <c r="L245" i="41"/>
  <c r="D246" i="41"/>
  <c r="O244" i="41"/>
  <c r="Q244" i="41" s="1"/>
  <c r="N244" i="41"/>
  <c r="M244" i="41"/>
  <c r="L244" i="41"/>
  <c r="C52" i="3"/>
  <c r="D51" i="3"/>
  <c r="E51" i="3" s="1"/>
  <c r="F51" i="3" s="1"/>
  <c r="G51" i="3" s="1"/>
  <c r="H51" i="3" s="1"/>
  <c r="I51" i="3" s="1"/>
  <c r="J51" i="3" s="1"/>
  <c r="K51" i="3" s="1"/>
  <c r="D50" i="3"/>
  <c r="E50" i="3" s="1"/>
  <c r="F50" i="3" s="1"/>
  <c r="G50" i="3" s="1"/>
  <c r="H50" i="3" s="1"/>
  <c r="I50" i="3" s="1"/>
  <c r="J50" i="3" s="1"/>
  <c r="K50" i="3" s="1"/>
  <c r="H246" i="41" l="1"/>
  <c r="I246" i="41" s="1"/>
  <c r="D247" i="41"/>
  <c r="L246" i="41"/>
  <c r="F246" i="41"/>
  <c r="N245" i="41"/>
  <c r="O245" i="41"/>
  <c r="Q245" i="41" s="1"/>
  <c r="M245" i="41"/>
  <c r="D52" i="3"/>
  <c r="E52" i="3" s="1"/>
  <c r="F52" i="3" s="1"/>
  <c r="G52" i="3" s="1"/>
  <c r="H52" i="3" s="1"/>
  <c r="I52" i="3" s="1"/>
  <c r="J52" i="3" s="1"/>
  <c r="K52" i="3" s="1"/>
  <c r="C53" i="3"/>
  <c r="D248" i="41" l="1"/>
  <c r="F247" i="41"/>
  <c r="H247" i="41"/>
  <c r="I247" i="41" s="1"/>
  <c r="N246" i="41"/>
  <c r="O246" i="41"/>
  <c r="Q246" i="41" s="1"/>
  <c r="M246" i="41"/>
  <c r="C54" i="3"/>
  <c r="D53" i="3"/>
  <c r="E53" i="3" s="1"/>
  <c r="F53" i="3" s="1"/>
  <c r="G53" i="3" s="1"/>
  <c r="H53" i="3" s="1"/>
  <c r="I53" i="3" s="1"/>
  <c r="J53" i="3" s="1"/>
  <c r="K53" i="3" s="1"/>
  <c r="O247" i="41" l="1"/>
  <c r="Q247" i="41" s="1"/>
  <c r="N247" i="41"/>
  <c r="M247" i="41"/>
  <c r="L247" i="41"/>
  <c r="F248" i="41"/>
  <c r="D249" i="41"/>
  <c r="H248" i="41"/>
  <c r="I248" i="41" s="1"/>
  <c r="C55" i="3"/>
  <c r="D54" i="3"/>
  <c r="E54" i="3" s="1"/>
  <c r="F54" i="3" s="1"/>
  <c r="G54" i="3" s="1"/>
  <c r="H54" i="3" s="1"/>
  <c r="I54" i="3" s="1"/>
  <c r="J54" i="3" s="1"/>
  <c r="K54" i="3" s="1"/>
  <c r="N248" i="41" l="1"/>
  <c r="O248" i="41"/>
  <c r="Q248" i="41" s="1"/>
  <c r="M248" i="41"/>
  <c r="F249" i="41"/>
  <c r="H249" i="41"/>
  <c r="I249" i="41" s="1"/>
  <c r="D250" i="41"/>
  <c r="L249" i="41"/>
  <c r="L248" i="41"/>
  <c r="C56" i="3"/>
  <c r="D55" i="3"/>
  <c r="E55" i="3" s="1"/>
  <c r="F55" i="3" s="1"/>
  <c r="G55" i="3" s="1"/>
  <c r="H55" i="3" s="1"/>
  <c r="I55" i="3" s="1"/>
  <c r="J55" i="3" s="1"/>
  <c r="K55" i="3" s="1"/>
  <c r="H250" i="41" l="1"/>
  <c r="I250" i="41" s="1"/>
  <c r="L250" i="41" s="1"/>
  <c r="D251" i="41"/>
  <c r="F250" i="41"/>
  <c r="N249" i="41"/>
  <c r="O249" i="41"/>
  <c r="Q249" i="41" s="1"/>
  <c r="M249" i="41"/>
  <c r="C57" i="3"/>
  <c r="D56" i="3"/>
  <c r="E56" i="3" s="1"/>
  <c r="F56" i="3" s="1"/>
  <c r="G56" i="3" s="1"/>
  <c r="H56" i="3" s="1"/>
  <c r="I56" i="3" s="1"/>
  <c r="J56" i="3" s="1"/>
  <c r="K56" i="3" s="1"/>
  <c r="D252" i="41" l="1"/>
  <c r="H251" i="41"/>
  <c r="I251" i="41" s="1"/>
  <c r="F251" i="41"/>
  <c r="N250" i="41"/>
  <c r="O250" i="41"/>
  <c r="Q250" i="41" s="1"/>
  <c r="M250" i="41"/>
  <c r="C58" i="3"/>
  <c r="D57" i="3"/>
  <c r="E57" i="3" s="1"/>
  <c r="F57" i="3" s="1"/>
  <c r="G57" i="3" s="1"/>
  <c r="H57" i="3" s="1"/>
  <c r="I57" i="3" s="1"/>
  <c r="J57" i="3" s="1"/>
  <c r="K57" i="3" s="1"/>
  <c r="O251" i="41" l="1"/>
  <c r="Q251" i="41" s="1"/>
  <c r="N251" i="41"/>
  <c r="M251" i="41"/>
  <c r="L251" i="41"/>
  <c r="F252" i="41"/>
  <c r="H252" i="41"/>
  <c r="I252" i="41" s="1"/>
  <c r="D253" i="41"/>
  <c r="C59" i="3"/>
  <c r="D59" i="3" s="1"/>
  <c r="E59" i="3" s="1"/>
  <c r="F59" i="3" s="1"/>
  <c r="G59" i="3" s="1"/>
  <c r="H59" i="3" s="1"/>
  <c r="I59" i="3" s="1"/>
  <c r="J59" i="3" s="1"/>
  <c r="K59" i="3" s="1"/>
  <c r="D58" i="3"/>
  <c r="E58" i="3" s="1"/>
  <c r="F58" i="3" s="1"/>
  <c r="G58" i="3" s="1"/>
  <c r="H58" i="3" s="1"/>
  <c r="I58" i="3" s="1"/>
  <c r="J58" i="3" s="1"/>
  <c r="K58" i="3" s="1"/>
  <c r="O252" i="41" l="1"/>
  <c r="Q252" i="41" s="1"/>
  <c r="N252" i="41"/>
  <c r="M252" i="41"/>
  <c r="F253" i="41"/>
  <c r="H253" i="41"/>
  <c r="I253" i="41" s="1"/>
  <c r="L253" i="41" s="1"/>
  <c r="D254" i="41"/>
  <c r="L252" i="41"/>
  <c r="D117" i="1"/>
  <c r="D122" i="1" s="1"/>
  <c r="D123" i="1" s="1"/>
  <c r="D112" i="1"/>
  <c r="D114" i="1" s="1"/>
  <c r="H254" i="41" l="1"/>
  <c r="I254" i="41" s="1"/>
  <c r="D255" i="41"/>
  <c r="L254" i="41"/>
  <c r="F254" i="41"/>
  <c r="N253" i="41"/>
  <c r="O253" i="41"/>
  <c r="Q253" i="41" s="1"/>
  <c r="M253" i="41"/>
  <c r="D115" i="1"/>
  <c r="D119" i="1"/>
  <c r="D125" i="1"/>
  <c r="D128" i="1" s="1"/>
  <c r="F123" i="1"/>
  <c r="D118" i="1"/>
  <c r="D256" i="41" l="1"/>
  <c r="F255" i="41"/>
  <c r="H255" i="41"/>
  <c r="I255" i="41" s="1"/>
  <c r="N254" i="41"/>
  <c r="O254" i="41"/>
  <c r="Q254" i="41" s="1"/>
  <c r="M254" i="41"/>
  <c r="D120" i="1"/>
  <c r="D127" i="1" s="1"/>
  <c r="C390" i="20"/>
  <c r="C392" i="20" s="1"/>
  <c r="C393" i="20" s="1"/>
  <c r="O255" i="41" l="1"/>
  <c r="Q255" i="41" s="1"/>
  <c r="N255" i="41"/>
  <c r="M255" i="41"/>
  <c r="L255" i="41"/>
  <c r="F256" i="41"/>
  <c r="D257" i="41"/>
  <c r="H256" i="41"/>
  <c r="I256" i="41" s="1"/>
  <c r="G450" i="20"/>
  <c r="H447" i="20"/>
  <c r="H448" i="20" s="1"/>
  <c r="H449" i="20" s="1"/>
  <c r="N256" i="41" l="1"/>
  <c r="O256" i="41"/>
  <c r="Q256" i="41" s="1"/>
  <c r="M256" i="41"/>
  <c r="F257" i="41"/>
  <c r="H257" i="41"/>
  <c r="I257" i="41" s="1"/>
  <c r="L257" i="41" s="1"/>
  <c r="D258" i="41"/>
  <c r="L256" i="41"/>
  <c r="H450" i="20"/>
  <c r="I447" i="20"/>
  <c r="I448" i="20" s="1"/>
  <c r="I449" i="20" s="1"/>
  <c r="H258" i="41" l="1"/>
  <c r="I258" i="41" s="1"/>
  <c r="L258" i="41" s="1"/>
  <c r="D259" i="41"/>
  <c r="F258" i="41"/>
  <c r="N257" i="41"/>
  <c r="O257" i="41"/>
  <c r="Q257" i="41" s="1"/>
  <c r="M257" i="41"/>
  <c r="J447" i="20"/>
  <c r="J448" i="20" s="1"/>
  <c r="J449" i="20" s="1"/>
  <c r="I450" i="20"/>
  <c r="D260" i="41" l="1"/>
  <c r="H259" i="41"/>
  <c r="I259" i="41" s="1"/>
  <c r="F259" i="41"/>
  <c r="N258" i="41"/>
  <c r="O258" i="41"/>
  <c r="Q258" i="41" s="1"/>
  <c r="M258" i="41"/>
  <c r="J450" i="20"/>
  <c r="K447" i="20"/>
  <c r="K448" i="20" s="1"/>
  <c r="K449" i="20" s="1"/>
  <c r="O259" i="41" l="1"/>
  <c r="Q259" i="41" s="1"/>
  <c r="N259" i="41"/>
  <c r="M259" i="41"/>
  <c r="L259" i="41"/>
  <c r="F260" i="41"/>
  <c r="H260" i="41"/>
  <c r="I260" i="41" s="1"/>
  <c r="D261" i="41"/>
  <c r="L447" i="20"/>
  <c r="L448" i="20" s="1"/>
  <c r="L449" i="20" s="1"/>
  <c r="K450" i="20"/>
  <c r="F261" i="41" l="1"/>
  <c r="H261" i="41"/>
  <c r="I261" i="41" s="1"/>
  <c r="L261" i="41" s="1"/>
  <c r="D262" i="41"/>
  <c r="O260" i="41"/>
  <c r="Q260" i="41" s="1"/>
  <c r="N260" i="41"/>
  <c r="M260" i="41"/>
  <c r="L260" i="41"/>
  <c r="M447" i="20"/>
  <c r="M448" i="20" s="1"/>
  <c r="M449" i="20" s="1"/>
  <c r="M450" i="20" s="1"/>
  <c r="L450" i="20"/>
  <c r="H262" i="41" l="1"/>
  <c r="I262" i="41" s="1"/>
  <c r="D263" i="41"/>
  <c r="L262" i="41"/>
  <c r="F262" i="41"/>
  <c r="N261" i="41"/>
  <c r="O261" i="41"/>
  <c r="Q261" i="41" s="1"/>
  <c r="M261" i="41"/>
  <c r="D264" i="41" l="1"/>
  <c r="F263" i="41"/>
  <c r="H263" i="41"/>
  <c r="I263" i="41" s="1"/>
  <c r="N262" i="41"/>
  <c r="O262" i="41"/>
  <c r="Q262" i="41" s="1"/>
  <c r="M262" i="41"/>
  <c r="O263" i="41" l="1"/>
  <c r="Q263" i="41" s="1"/>
  <c r="N263" i="41"/>
  <c r="M263" i="41"/>
  <c r="L263" i="41"/>
  <c r="F264" i="41"/>
  <c r="D265" i="41"/>
  <c r="H264" i="41"/>
  <c r="I264" i="41" s="1"/>
  <c r="N264" i="41" l="1"/>
  <c r="O264" i="41"/>
  <c r="Q264" i="41" s="1"/>
  <c r="M264" i="41"/>
  <c r="F265" i="41"/>
  <c r="H265" i="41"/>
  <c r="I265" i="41" s="1"/>
  <c r="L265" i="41" s="1"/>
  <c r="D266" i="41"/>
  <c r="L264" i="41"/>
  <c r="H266" i="41" l="1"/>
  <c r="I266" i="41" s="1"/>
  <c r="L266" i="41" s="1"/>
  <c r="D267" i="41"/>
  <c r="F266" i="41"/>
  <c r="M265" i="41"/>
  <c r="N265" i="41"/>
  <c r="O265" i="41"/>
  <c r="Q265" i="41" s="1"/>
  <c r="D268" i="41" l="1"/>
  <c r="H267" i="41"/>
  <c r="I267" i="41" s="1"/>
  <c r="F267" i="41"/>
  <c r="N266" i="41"/>
  <c r="O266" i="41"/>
  <c r="Q266" i="41" s="1"/>
  <c r="M266" i="41"/>
  <c r="O267" i="41" l="1"/>
  <c r="Q267" i="41" s="1"/>
  <c r="N267" i="41"/>
  <c r="M267" i="41"/>
  <c r="L267" i="41"/>
  <c r="F268" i="41"/>
  <c r="H268" i="41"/>
  <c r="I268" i="41" s="1"/>
  <c r="O268" i="41" l="1"/>
  <c r="Q268" i="41" s="1"/>
  <c r="N268" i="41"/>
  <c r="M268" i="41"/>
  <c r="L268" i="41"/>
</calcChain>
</file>

<file path=xl/comments1.xml><?xml version="1.0" encoding="utf-8"?>
<comments xmlns="http://schemas.openxmlformats.org/spreadsheetml/2006/main">
  <authors>
    <author>wk</author>
  </authors>
  <commentList>
    <comment ref="B128" authorId="0">
      <text>
        <r>
          <rPr>
            <b/>
            <sz val="9"/>
            <color indexed="81"/>
            <rFont val="Tahoma"/>
            <family val="2"/>
          </rPr>
          <t xml:space="preserve">Hängt vom Aufnahmeformat ab. Je kleiner das Format, umso kleiner der Tolerenzwert, also der zulässige Unschärfekreisdurchmesser.
</t>
        </r>
      </text>
    </comment>
  </commentList>
</comments>
</file>

<file path=xl/sharedStrings.xml><?xml version="1.0" encoding="utf-8"?>
<sst xmlns="http://schemas.openxmlformats.org/spreadsheetml/2006/main" count="10282" uniqueCount="4734">
  <si>
    <t>Aufgabe:</t>
  </si>
  <si>
    <t>Welche Größe und welche Helligkeit hat das Bild eines Beamers mit Full HD-Format,</t>
  </si>
  <si>
    <t>wenn das Gerät aus einem Projektionsabstand von 5 Metern ein 3 Meter breites Bild erzeugt und nun aus</t>
  </si>
  <si>
    <t>einem Abstand von 7,8 Meter eingesetzt werden soll? Auf dem Projektionsobjektiv stehen die Daten 1:2,8 / 80.</t>
  </si>
  <si>
    <t>Wie geht man an eine Aufgabe heran?</t>
  </si>
  <si>
    <t>Text genau lesen und herausfinden, welche Größen in der Aufgabe</t>
  </si>
  <si>
    <t>genannt sind (Abstand, Durchmesser, Winkel, Fläche, Zeit etc.).</t>
  </si>
  <si>
    <t>In Formeln werden meist Buchstaben für bestimmte Größen verwendet.</t>
  </si>
  <si>
    <t>Diese Zuordnung sollte man kennen! Beispiel: f für Brennweite, a' für Bildweite, t für Zeit.</t>
  </si>
  <si>
    <t>Daten in der Aufgabe:</t>
  </si>
  <si>
    <t>1:2,8 ist die Lichtstärke, 2,8 ist die größtmögliche Blende.</t>
  </si>
  <si>
    <t>Die Brennweite des Objektivs ist 80 mm</t>
  </si>
  <si>
    <t>Bildbreite 3 Meter bei einem Projektionsabstand von 5 Metern.</t>
  </si>
  <si>
    <t>Das Bildformat hat die Proportion Full HD, also 1920 px : 1080 px = 16 : 9.</t>
  </si>
  <si>
    <t>Welche Werte sollen berechnet werden?</t>
  </si>
  <si>
    <t>Die Größe des neuen Bildes, also die Breite und die Höhe, evtl. die Fläche.</t>
  </si>
  <si>
    <t>Und die Helligkeit des neuen Bildes. Dafür benötigt man die Bildfläche, weil</t>
  </si>
  <si>
    <t>sich die Helligkeit proportional zur Bildfläche verändert.</t>
  </si>
  <si>
    <t>Es sind keine Angaben zur Helligkeit vorhanden, also kann man nur herausfinden,</t>
  </si>
  <si>
    <t>wievielmal heller oder dunkler das neue Bild im Vergleich zum ursprünglichen Bild sein wird.</t>
  </si>
  <si>
    <t>Man setzt die Anfangshelligkeit auf den Wert 100 %, was der Zahl 1 entspricht.</t>
  </si>
  <si>
    <t>Nun muss man die passende (n) Formel (n) finden bzw. die Zusammenhänge klären.</t>
  </si>
  <si>
    <t>Die Lichtstärke 1:2,8 wird nicht benötigt, ist nur Beiwerk in der Aufgabe.</t>
  </si>
  <si>
    <t>Die Bildhöhe kann man mit Bildbreite und Proportion 1920/1080 ermitteln.</t>
  </si>
  <si>
    <t>Bildbreite und Bildhöhe ändern sich mit dem gleichen Faktor wie der Projektionsabstand.</t>
  </si>
  <si>
    <t>Die Bildfläche ändert sich mit dem Quadrat des Änderungsfaktors für den Projektionsabstand.</t>
  </si>
  <si>
    <t>Die Bildhelligkeit ändert sich umgekehrt proportional zur Bildfläche (Beispiel: Faktor 4 &gt;&gt; Faktor 1/4)</t>
  </si>
  <si>
    <t>Die passende Formel umstellen, so dass die gesuchte Größe allein auf einer Seite der Gleichung steht.</t>
  </si>
  <si>
    <t>Auf der rechten Seite der Formel die bekannten Werte einsetzen und die gesuchte Größe errechnen.</t>
  </si>
  <si>
    <t>Warum mit einem Tabellenkalkulationsprogramm wie Excel (Microsoft), PlanMaker (FreeOffice), Calc (LibreOffice) arbeiten?</t>
  </si>
  <si>
    <t>Excel ist in Unternehmen und Schulen weit verbreitet, PlanMaker ist Excel sehr ähnlich. PlanMaker und Calc sind kostenlos.</t>
  </si>
  <si>
    <t>Der Berechnungsvorgang wird aufgeschrieben und kann später an jeder Stelle beliebig verändert werden.</t>
  </si>
  <si>
    <t>Bei wiederholten, komplexen Berechnungen spart man sich das wiederholte Eintippen aller Rechenoperationen.</t>
  </si>
  <si>
    <t xml:space="preserve">Werden die Ausgangswerte variiert, werden die Ergebnisse automatisch aktualisiert, ohne dass </t>
  </si>
  <si>
    <t>die Rechenoperationen neu eingegeben werden müssen.</t>
  </si>
  <si>
    <t>Das Berechnungsprogramm kann jederzeit wieder mit anderen Ausgangswerten genutzt werden.</t>
  </si>
  <si>
    <t>Die Fehlersuche und -korrektur ist schnell und einfach möglich, weil die Folgen jeder Änderung sofort sichtbar sind.</t>
  </si>
  <si>
    <t>Das Berechnungsprogramm kann kopiert werden und für andere nützlich sein.</t>
  </si>
  <si>
    <t>Das Tabellenkalkulationsprogramm ist in den Grundfunktionen schnell erlernbar.</t>
  </si>
  <si>
    <t>Im Internet gibt es zahllose Tutorials für Anfänger …</t>
  </si>
  <si>
    <t>Wie baut man ein Tabellenblatt sinnvoll auf?</t>
  </si>
  <si>
    <t>Gliedern Sie das Programm, wie unten dargestellt, vertikal und sorgen Sie für Übersichtlichkeit.</t>
  </si>
  <si>
    <t>Man erarbeitet die Lösung also von oben nach unten.</t>
  </si>
  <si>
    <t>Die erste Spalte links enthält die Beschreibung der Bedeutung eines Zahlenwerts.</t>
  </si>
  <si>
    <t>Die zweite Spalte enthält nur Zahlenwerte oder Formeln. In der dritten Spalte stehen die Maßeinheiten.</t>
  </si>
  <si>
    <t>Schreiben Sie für sich selbst Kommentare ganz rechts neben die betreffende Zeile,</t>
  </si>
  <si>
    <t>um auch in einem Jahr noch zu verstehen, wie eine Formel zustande gekommen ist.</t>
  </si>
  <si>
    <t>Ergänzen Sie die Tabelle durch eine Zeichnung, wenn dies sinnvoll erscheint. Die Software bietet entsprechende Werkzeuge.</t>
  </si>
  <si>
    <t>Struktur:</t>
  </si>
  <si>
    <t>Aufgabentext</t>
  </si>
  <si>
    <t>Legende: Markierung für veränderbare Zellen erläutern</t>
  </si>
  <si>
    <t>Spalte 1</t>
  </si>
  <si>
    <t>Spalte 2</t>
  </si>
  <si>
    <t>Spalte 3</t>
  </si>
  <si>
    <t>Eingabebereich</t>
  </si>
  <si>
    <t>Beschreibung der Zelle</t>
  </si>
  <si>
    <t>Zahlen-</t>
  </si>
  <si>
    <t>Maßeinheit</t>
  </si>
  <si>
    <t>Kommentare, Zeichnungen etc.</t>
  </si>
  <si>
    <t>eingabe</t>
  </si>
  <si>
    <t>Zwischenwerte,</t>
  </si>
  <si>
    <t>Nebenrechnungen</t>
  </si>
  <si>
    <t>Zahlen</t>
  </si>
  <si>
    <t>&amp; Formeln</t>
  </si>
  <si>
    <t>Lösung (-en)</t>
  </si>
  <si>
    <t>Antwortsatz, im Idealfall mit Übernahme der errechneten Ergebnisse.</t>
  </si>
  <si>
    <t>Und nun zur Lösung der Aufgabe:</t>
  </si>
  <si>
    <t>Projektionsdistanz 1</t>
  </si>
  <si>
    <t>m</t>
  </si>
  <si>
    <t>Bekannte Werte = Variablen</t>
  </si>
  <si>
    <t>Projektionsdistanz 2</t>
  </si>
  <si>
    <t>Bildbreite 1</t>
  </si>
  <si>
    <t>Proportionswert 1</t>
  </si>
  <si>
    <t>Proportionswert 2</t>
  </si>
  <si>
    <t>Ausgangshelligkeit</t>
  </si>
  <si>
    <t>Bildproportion</t>
  </si>
  <si>
    <t>Proportionswert 1 / Proportionswert 2</t>
  </si>
  <si>
    <t>Bildhöhe 1</t>
  </si>
  <si>
    <t>Bildbreite / Bildproportion</t>
  </si>
  <si>
    <t>Fläche 1</t>
  </si>
  <si>
    <t>m²</t>
  </si>
  <si>
    <t>Bildbreite 1 * Bildhöhe 1</t>
  </si>
  <si>
    <t>Abstandsänderungsfaktor</t>
  </si>
  <si>
    <t>Projektionsdistanz 2 / Projektionsdistanz 1</t>
  </si>
  <si>
    <t>Bildbreite 2</t>
  </si>
  <si>
    <t>Bildbreite 1 * Abstandsänderungsfaktor</t>
  </si>
  <si>
    <t>Bildhöhe 2</t>
  </si>
  <si>
    <t>Bildhöhe 1 * Abstandsänderungsfaktor</t>
  </si>
  <si>
    <t>Fläche 2</t>
  </si>
  <si>
    <t>Bildbreite 2 * Bildhöhe 2</t>
  </si>
  <si>
    <t>Flächenänderungsfaktor</t>
  </si>
  <si>
    <t>Fläche 2 / Fläche 1 oder Abstandsänderungsfaktor hoch 2</t>
  </si>
  <si>
    <t>Helligkeitsänderungsfaktor</t>
  </si>
  <si>
    <t>entspricht</t>
  </si>
  <si>
    <t>Neue Helligkeit</t>
  </si>
  <si>
    <t>Ausgangshelligkeit * Helligkeitsänderungsfaktor</t>
  </si>
  <si>
    <t>Antworten:</t>
  </si>
  <si>
    <t>M</t>
  </si>
  <si>
    <t>Mittelpunkt, Zentrum des Objektivs/der Linse</t>
  </si>
  <si>
    <t>H =</t>
  </si>
  <si>
    <t>Hauptebene, Ort der Brechung  (Vereinfachung: Tatsächlich findet die Brechung an jeder Linse zweimal statt)</t>
  </si>
  <si>
    <t>F =</t>
  </si>
  <si>
    <t>gegenstandseitiger Brennpunkt</t>
  </si>
  <si>
    <t>F'</t>
  </si>
  <si>
    <t>bildseitiger Brennpunkt</t>
  </si>
  <si>
    <t>f =</t>
  </si>
  <si>
    <t>gegenstandseitige Brennweite</t>
  </si>
  <si>
    <t>f ' =</t>
  </si>
  <si>
    <t>bildseitige Brennweite</t>
  </si>
  <si>
    <t>a =</t>
  </si>
  <si>
    <t>Gegenstandsweite, Gegenstandsentfernung, Aufnahmedistanz, Aufnahmeabstand</t>
  </si>
  <si>
    <t>a' =</t>
  </si>
  <si>
    <t>Bildweite, Kameraauszug, Projektionsweite</t>
  </si>
  <si>
    <t>z =</t>
  </si>
  <si>
    <t>brennpunktbezogene Gegenstandsweite (a- f)</t>
  </si>
  <si>
    <t>z' =</t>
  </si>
  <si>
    <t>brennpunktbezogene Bildweite (a'- f)</t>
  </si>
  <si>
    <t>y =</t>
  </si>
  <si>
    <t>Gegenstandsgröße (entweder Gegenstandshöhe oder Gegenstandsbreite)</t>
  </si>
  <si>
    <t>y' =</t>
  </si>
  <si>
    <t>Bildgröße (entweder Bildhöhe oder Bildbreite)</t>
  </si>
  <si>
    <t>V =</t>
  </si>
  <si>
    <t>Abbildungsmaßstab (Formelzeichen auch m)</t>
  </si>
  <si>
    <t>k =</t>
  </si>
  <si>
    <t>Blendenzahl</t>
  </si>
  <si>
    <t>t =</t>
  </si>
  <si>
    <t>Verschlusszeit, Leuchtzeit des Blitzes</t>
  </si>
  <si>
    <t>Bedeutung von Abkürzungen:</t>
  </si>
  <si>
    <t>Kopieren</t>
  </si>
  <si>
    <t>Der Zellbezug entspricht der Zell-Koordinate im Tabellenblatt.</t>
  </si>
  <si>
    <t>A14 entspricht Spalte A und Zeile 14 im Tabellenblatt.</t>
  </si>
  <si>
    <t>Excel passt den Zeilenbezug automatisch an, wenn eine Zelle in eine andere Zeile kopiert wird.</t>
  </si>
  <si>
    <t>Aus =A14 wird beim Kopieren nach unten z. B. A19.</t>
  </si>
  <si>
    <t>Excel passt den Spaltenbezug automatisch an, wenn eine Zelle in eine andere Spalte kopiert wird.</t>
  </si>
  <si>
    <t>Aus =A14 wird beim Kopieren nach rechts z. B. F14.</t>
  </si>
  <si>
    <t>Dieses Verhalten ist nützlich, wenn man seine Berechnungen an eine andere Stelle</t>
  </si>
  <si>
    <t>im tabellenblatt kopieren oder verschieben will.</t>
  </si>
  <si>
    <t>Manchmal möchte man den Zeilen- und/oder den Spaltenbezug aber unverändert lassen. Dann</t>
  </si>
  <si>
    <t>muss man die Spalte oder die Zeile oder beides fixieren.</t>
  </si>
  <si>
    <t>Wenn Excel in einer Formel die Zeilenzahl nicht verändern soll, muss man die</t>
  </si>
  <si>
    <t>Zeilenzahl vor dem Kopieren fixieren. Man schreibt ein Dollar-Zeichen vor die</t>
  </si>
  <si>
    <t>Zeilenzahl. Entsprechendes gilt für den Spaltenbuchstaben.</t>
  </si>
  <si>
    <t>Beispiele:</t>
  </si>
  <si>
    <t>ohne Fixierung</t>
  </si>
  <si>
    <t>Spalte fixiert</t>
  </si>
  <si>
    <t>Zeile fixiert</t>
  </si>
  <si>
    <t>Alles fixiert</t>
  </si>
  <si>
    <t xml:space="preserve"> =A14</t>
  </si>
  <si>
    <t xml:space="preserve"> =$A14</t>
  </si>
  <si>
    <t xml:space="preserve"> =A$14</t>
  </si>
  <si>
    <t xml:space="preserve"> =$A$14</t>
  </si>
  <si>
    <t>Aufgabe: Kopieren Sie die Formeln in Zelle D30 im roten Bereich nach rechts, in Zelle C31 nach unten.</t>
  </si>
  <si>
    <t>Die Zahlenreihen zeigen dabei in der nächsten Zelle immer den doppelten Wert (Faktor 2) der vorigen Zelle.</t>
  </si>
  <si>
    <t>Kopieren Sie dann die gesamte rote Zeile nach unten oder die rote Spalte nach rechts.</t>
  </si>
  <si>
    <t>Die gefüllte Tabelle (blau) sollte dann in jeder Zeile und Spalte sich jeweils verdoppelnde Zahlen zeigen.</t>
  </si>
  <si>
    <t>Nutzen Sie die Fixierungsmöglichkeiten mit dem $-Zeichen möglichst intelligent.</t>
  </si>
  <si>
    <t>Faktor</t>
  </si>
  <si>
    <t>Start-Wert</t>
  </si>
  <si>
    <t>Nur die Zahl oder der Buchstabe, vor der/dem ein Dollar-Zeichen steht, ändert sich nicht,</t>
  </si>
  <si>
    <t>wenn man eine Zelle, die eine Formel enthält, nach unten/oben oder links/rechts kopiert.</t>
  </si>
  <si>
    <t>Ergebnis:</t>
  </si>
  <si>
    <t>Wie schreibt man Antwortsätze, in denen die Berechnungsergebnisse variabel übernommen werden?</t>
  </si>
  <si>
    <t>Zahl 1</t>
  </si>
  <si>
    <t>Zahl 2</t>
  </si>
  <si>
    <t>Zahl 3</t>
  </si>
  <si>
    <t>Beispiel Multiplikation dreier Zahlen</t>
  </si>
  <si>
    <t>Produkt</t>
  </si>
  <si>
    <t>Antwortsatz:</t>
  </si>
  <si>
    <t>Der Antwortsatz wird als Formel geschrieben, beginnt also mit =</t>
  </si>
  <si>
    <t>Alle nicht-veränderliche Teile werden in "Anführungszeichen" gesetzt.</t>
  </si>
  <si>
    <t>Alle veränderlichen, variablen Teile werden als Zell-Koordinate, z. B. B4, geschrieben.</t>
  </si>
  <si>
    <t>Zwischen nicht variablen und variablen Formelteilen schreibt man das Zeichen &amp; (Verknüpfung).</t>
  </si>
  <si>
    <t>Damit Zahlenergebnisse nicht mit 8 Nachkommastellen angezeigt werden, bettet man</t>
  </si>
  <si>
    <t>hier 2, nach dem Semikolon ein.</t>
  </si>
  <si>
    <r>
      <t xml:space="preserve">die Zell-Koordinate in die </t>
    </r>
    <r>
      <rPr>
        <sz val="10"/>
        <color rgb="FF00B050"/>
        <rFont val="Arial"/>
        <family val="2"/>
      </rPr>
      <t>Runden()-Funktion</t>
    </r>
    <r>
      <rPr>
        <sz val="10"/>
        <rFont val="Arial"/>
        <family val="2"/>
      </rPr>
      <t xml:space="preserve"> ein und gibt die gewünschte </t>
    </r>
    <r>
      <rPr>
        <sz val="10"/>
        <color rgb="FFFF0000"/>
        <rFont val="Arial"/>
        <family val="2"/>
      </rPr>
      <t>Anzahl Nachkommastellen</t>
    </r>
    <r>
      <rPr>
        <sz val="10"/>
        <rFont val="Arial"/>
        <family val="2"/>
      </rPr>
      <t>,</t>
    </r>
  </si>
  <si>
    <r>
      <t xml:space="preserve"> =</t>
    </r>
    <r>
      <rPr>
        <sz val="10"/>
        <color theme="3" tint="0.39997558519241921"/>
        <rFont val="Arial"/>
        <family val="2"/>
      </rPr>
      <t>"Das Produkt aus den drei Zahlen ist "</t>
    </r>
    <r>
      <rPr>
        <sz val="10"/>
        <color theme="9" tint="-0.249977111117893"/>
        <rFont val="Arial"/>
        <family val="2"/>
      </rPr>
      <t xml:space="preserve"> &amp;</t>
    </r>
    <r>
      <rPr>
        <sz val="10"/>
        <rFont val="Arial"/>
        <family val="2"/>
      </rPr>
      <t xml:space="preserve"> C6 </t>
    </r>
    <r>
      <rPr>
        <sz val="10"/>
        <color theme="9" tint="-0.249977111117893"/>
        <rFont val="Arial"/>
        <family val="2"/>
      </rPr>
      <t>&amp;</t>
    </r>
    <r>
      <rPr>
        <sz val="10"/>
        <color theme="3" tint="0.39997558519241921"/>
        <rFont val="Arial"/>
        <family val="2"/>
      </rPr>
      <t xml:space="preserve"> "; "</t>
    </r>
    <r>
      <rPr>
        <sz val="10"/>
        <rFont val="Arial"/>
        <family val="2"/>
      </rPr>
      <t xml:space="preserve"> </t>
    </r>
    <r>
      <rPr>
        <sz val="10"/>
        <color theme="9" tint="-0.249977111117893"/>
        <rFont val="Arial"/>
        <family val="2"/>
      </rPr>
      <t>&amp;</t>
    </r>
    <r>
      <rPr>
        <sz val="10"/>
        <rFont val="Arial"/>
        <family val="2"/>
      </rPr>
      <t xml:space="preserve"> C7 </t>
    </r>
    <r>
      <rPr>
        <sz val="10"/>
        <color theme="9" tint="-0.249977111117893"/>
        <rFont val="Arial"/>
        <family val="2"/>
      </rPr>
      <t>&amp;</t>
    </r>
    <r>
      <rPr>
        <sz val="10"/>
        <color theme="3" tint="0.39997558519241921"/>
        <rFont val="Arial"/>
        <family val="2"/>
      </rPr>
      <t>" und "</t>
    </r>
    <r>
      <rPr>
        <sz val="10"/>
        <rFont val="Arial"/>
        <family val="2"/>
      </rPr>
      <t xml:space="preserve"> </t>
    </r>
    <r>
      <rPr>
        <sz val="10"/>
        <color theme="9" tint="-0.249977111117893"/>
        <rFont val="Arial"/>
        <family val="2"/>
      </rPr>
      <t>&amp;</t>
    </r>
    <r>
      <rPr>
        <sz val="10"/>
        <rFont val="Arial"/>
        <family val="2"/>
      </rPr>
      <t xml:space="preserve"> C8 </t>
    </r>
    <r>
      <rPr>
        <sz val="10"/>
        <color theme="9" tint="-0.249977111117893"/>
        <rFont val="Arial"/>
        <family val="2"/>
      </rPr>
      <t>&amp;</t>
    </r>
    <r>
      <rPr>
        <sz val="10"/>
        <color theme="3" tint="0.39997558519241921"/>
        <rFont val="Arial"/>
        <family val="2"/>
      </rPr>
      <t xml:space="preserve"> " ist "</t>
    </r>
    <r>
      <rPr>
        <sz val="10"/>
        <rFont val="Arial"/>
        <family val="2"/>
      </rPr>
      <t xml:space="preserve"> </t>
    </r>
    <r>
      <rPr>
        <sz val="10"/>
        <color theme="9" tint="-0.249977111117893"/>
        <rFont val="Arial"/>
        <family val="2"/>
      </rPr>
      <t>&amp;</t>
    </r>
    <r>
      <rPr>
        <sz val="10"/>
        <rFont val="Arial"/>
        <family val="2"/>
      </rPr>
      <t xml:space="preserve"> </t>
    </r>
    <r>
      <rPr>
        <sz val="10"/>
        <color rgb="FF00B050"/>
        <rFont val="Arial"/>
        <family val="2"/>
      </rPr>
      <t>RUNDEN(</t>
    </r>
    <r>
      <rPr>
        <sz val="10"/>
        <rFont val="Arial"/>
        <family val="2"/>
      </rPr>
      <t>C10;</t>
    </r>
    <r>
      <rPr>
        <sz val="10"/>
        <color rgb="FFFF0000"/>
        <rFont val="Arial"/>
        <family val="2"/>
      </rPr>
      <t>2</t>
    </r>
    <r>
      <rPr>
        <sz val="10"/>
        <color rgb="FF00B050"/>
        <rFont val="Arial"/>
        <family val="2"/>
      </rPr>
      <t>)</t>
    </r>
    <r>
      <rPr>
        <sz val="10"/>
        <rFont val="Arial"/>
        <family val="2"/>
      </rPr>
      <t xml:space="preserve"> </t>
    </r>
    <r>
      <rPr>
        <sz val="10"/>
        <color theme="9" tint="-0.249977111117893"/>
        <rFont val="Arial"/>
        <family val="2"/>
      </rPr>
      <t>&amp;</t>
    </r>
    <r>
      <rPr>
        <sz val="10"/>
        <rFont val="Arial"/>
        <family val="2"/>
      </rPr>
      <t xml:space="preserve"> </t>
    </r>
    <r>
      <rPr>
        <sz val="10"/>
        <color theme="3" tint="0.39997558519241921"/>
        <rFont val="Arial"/>
        <family val="2"/>
      </rPr>
      <t>"."</t>
    </r>
  </si>
  <si>
    <t xml:space="preserve">Wenn man mit dem Abbildungsmaßstab oder mit dem Öffnungsverhältnis rechnet, </t>
  </si>
  <si>
    <t>Öffnungsverhältnis ÖV = Blendendurchmesser / Brennweite</t>
  </si>
  <si>
    <t>hat man es mit dem Verhältnis zweier Größen zu tun, also mit einem Bruch.</t>
  </si>
  <si>
    <t>Excel kann zwar einfache, ganzzahlige Brüche anzeigen, aber bei "krummen" Werten macht die</t>
  </si>
  <si>
    <t>Aus dem Abbildungsmaßstab 1 : 11 wird die Formel = 1/11 entsprechend 0,90909.</t>
  </si>
  <si>
    <t>Aus dem Öffnungsverhältnis 1:2,8 wird die Formel = 1/2,8 entsprechend 0,35714286</t>
  </si>
  <si>
    <t>Benötigt man den Wert des Nenners des Bruchs, bildet man den Kehrwert der Dezimalzahl.</t>
  </si>
  <si>
    <t>Aus 0,35714286 wird die Formel = 1/0,35714286 entsprechend 2,8.</t>
  </si>
  <si>
    <t>Aus 0,90909 wird die Formel = 1/0,90909 entsprechend 11.</t>
  </si>
  <si>
    <t xml:space="preserve">Daraus leitet man ab, dass im Falle des Abbildungsmaßstabs die </t>
  </si>
  <si>
    <t>Gegenstandshöhe 11-mal größer ist als die Bildhöhe.</t>
  </si>
  <si>
    <t xml:space="preserve">Daraus leitet man ab, dass im Falle des Öffnungsverhältnisses die </t>
  </si>
  <si>
    <t>Brennweite 2,8-mal größer ist als der Blendendurchmesser.</t>
  </si>
  <si>
    <t>Darstellung als Bruch keinen Sinn. Besser ist die Verwendung von Dezimalzahlen.</t>
  </si>
  <si>
    <t>Abbildungsmaßstab V = Bildhöhe / Gegenstandshöhe oder Bildweite /Gegenstandsweite</t>
  </si>
  <si>
    <t>Dezimalzahlen statt Brüche verwenden</t>
  </si>
  <si>
    <t>Wenn man Formeln eingibt, die immer mit = beginnen, wird das Ergebnis sofort berechnet</t>
  </si>
  <si>
    <t xml:space="preserve">und angezeigt. Wenn man die eingegebene Formel sehen möchte kann man mehrere Wege </t>
  </si>
  <si>
    <t>gehen.</t>
  </si>
  <si>
    <t xml:space="preserve">Oberhalb der Spaltenköpfe (A, B, C …) befindet sich die Bearbeitungszeile. Wenn man eine </t>
  </si>
  <si>
    <t>Wenn man dann in die Bearbeitungszeile klickt, werden alle Zellkoordinaten der Formel</t>
  </si>
  <si>
    <t>im Tabellenblatt farbig umrahmt, also kenntlich gemacht.</t>
  </si>
  <si>
    <t>In den Excel-Grundeinstellungen kann man dafür sorgen, dass Excel statt der</t>
  </si>
  <si>
    <t>Berechnungsergebnisse immer die Formeln anzeigt. Im Menü Datei - Optionen -</t>
  </si>
  <si>
    <t>Erweitert - Optionen für dieses Arbeitsblatt kann man ein Häkchen setzen bei</t>
  </si>
  <si>
    <t>"Anstelle der berechneten Werte Formeln in Zellen anzeigen".</t>
  </si>
  <si>
    <t>Wenn man in der Bearbeitungszeile die ganze Formel kopiert und im Tabellenblatt an</t>
  </si>
  <si>
    <t>geeigneter Stelle zunächst einen Leerschritt tippt und dann die kopierte Formel einfügt,</t>
  </si>
  <si>
    <t>wird die Formel von Excel durch den Leerschritt als Texteingabe interpretiert und nicht</t>
  </si>
  <si>
    <t>berechnet.</t>
  </si>
  <si>
    <t>Zelle mit Formel aktiviert hat, wird die Formel immer in der Bearbeitungszeile angezeigt.</t>
  </si>
  <si>
    <t>Formel sichtbar machen</t>
  </si>
  <si>
    <t>Zeigen Sie, durch mehrere, nebeneinander stehende Berechnungen, mit welchem Faktor der Durchmesser</t>
  </si>
  <si>
    <t>Kreisfläche:  pi() * r²</t>
  </si>
  <si>
    <t>Kreisumfang:   2 * pi() * r</t>
  </si>
  <si>
    <t>Radius</t>
  </si>
  <si>
    <t>cm</t>
  </si>
  <si>
    <t>X</t>
  </si>
  <si>
    <t>Kreisfläche</t>
  </si>
  <si>
    <t>cm²</t>
  </si>
  <si>
    <t>F = pi() * r²</t>
  </si>
  <si>
    <t>r² = F / pi()</t>
  </si>
  <si>
    <t>r = wurzel(F/pi())</t>
  </si>
  <si>
    <t>Kreisflächen</t>
  </si>
  <si>
    <t>Veränderungsfaktor Fläche</t>
  </si>
  <si>
    <t>Veränderungsfaktor Radius</t>
  </si>
  <si>
    <t>Berechnen der Fläche und des Umfangs eines Rechtecks</t>
  </si>
  <si>
    <t>Ausgangswerte</t>
  </si>
  <si>
    <t>Breite</t>
  </si>
  <si>
    <t>Höhe</t>
  </si>
  <si>
    <t>Berechnungen</t>
  </si>
  <si>
    <t>Rechteckfläche</t>
  </si>
  <si>
    <t>ohne Formel</t>
  </si>
  <si>
    <t>mit Formel</t>
  </si>
  <si>
    <t>Rechteckumfang</t>
  </si>
  <si>
    <t>Antwortsatz</t>
  </si>
  <si>
    <t>Nettopreis je cm²</t>
  </si>
  <si>
    <t>Mehrwertsteuersatz</t>
  </si>
  <si>
    <t>Netto-Summe</t>
  </si>
  <si>
    <t>Mehrwertsteuer</t>
  </si>
  <si>
    <t>Netto-Summe * Prozentsatz = Mehrwertsteuer</t>
  </si>
  <si>
    <t>Bruttopreis</t>
  </si>
  <si>
    <t>Entwickeln Sie ein übersichtliches und verständliches Berechnungsmodell</t>
  </si>
  <si>
    <t>zur Ermittlung der Diagonalen, des Umfangs und der Fläche eines beliebigen</t>
  </si>
  <si>
    <r>
      <t>Aufnahmeformats (z. B. Kleinbild). Verwenden Sie u. a. die Formel von Pythagoras (c</t>
    </r>
    <r>
      <rPr>
        <vertAlign val="superscript"/>
        <sz val="10"/>
        <rFont val="Arial"/>
        <family val="2"/>
      </rPr>
      <t>2</t>
    </r>
    <r>
      <rPr>
        <sz val="10"/>
        <rFont val="Arial"/>
        <family val="2"/>
      </rPr>
      <t xml:space="preserve"> = a</t>
    </r>
    <r>
      <rPr>
        <vertAlign val="superscript"/>
        <sz val="10"/>
        <rFont val="Arial"/>
        <family val="2"/>
      </rPr>
      <t>2</t>
    </r>
    <r>
      <rPr>
        <sz val="10"/>
        <rFont val="Arial"/>
        <family val="2"/>
      </rPr>
      <t xml:space="preserve"> + b</t>
    </r>
    <r>
      <rPr>
        <vertAlign val="superscript"/>
        <sz val="10"/>
        <rFont val="Arial"/>
        <family val="2"/>
      </rPr>
      <t>2</t>
    </r>
    <r>
      <rPr>
        <sz val="10"/>
        <rFont val="Arial"/>
        <family val="2"/>
      </rPr>
      <t>),</t>
    </r>
  </si>
  <si>
    <t>und die Excel-Funktion "Wurzel".</t>
  </si>
  <si>
    <t>Eingabefelder haben die Farbe Gelb</t>
  </si>
  <si>
    <t>Rechteck-Berechnung</t>
  </si>
  <si>
    <t>Breite in mm</t>
  </si>
  <si>
    <t>Höhe in mm</t>
  </si>
  <si>
    <t>c</t>
  </si>
  <si>
    <t>Diagonale in mm</t>
  </si>
  <si>
    <t>b</t>
  </si>
  <si>
    <t>Umfang des Rechtecks in mm</t>
  </si>
  <si>
    <r>
      <t>Fläche des Rechtecks in mm</t>
    </r>
    <r>
      <rPr>
        <vertAlign val="superscript"/>
        <sz val="10"/>
        <rFont val="Arial"/>
        <family val="2"/>
      </rPr>
      <t>2</t>
    </r>
  </si>
  <si>
    <t>a</t>
  </si>
  <si>
    <t>c^2 = a^2 + b^2</t>
  </si>
  <si>
    <t>c = wurzel aus a^2 + b^2</t>
  </si>
  <si>
    <t xml:space="preserve"> =wurzel(a^2 + b^2)</t>
  </si>
  <si>
    <t>Aufgaben zur Papierberechnung</t>
  </si>
  <si>
    <t xml:space="preserve">Ein rechteckiger Fotokarton mit der Fläche A = 0,8 m² hat das Seitenverhältnis eines </t>
  </si>
  <si>
    <t>DIN-Formates. Berechnen Sie die Seitenlängen des Kartons.</t>
  </si>
  <si>
    <t>Eine Reproduktion im Format 50 cm x 60 cm ergab sich durch 8fache Vergrößerung.</t>
  </si>
  <si>
    <t>a) Wie groß war das Original, das vergrößert wurde?</t>
  </si>
  <si>
    <t>b) Wie verhalten sich die Flächeninhalte von Original und Reproduktion zueinander?</t>
  </si>
  <si>
    <t>Ein Plakat im Querformat 86 cm x 61 cm soll so verkleinert werden, dass die Breite 21,5 cm beträgt.</t>
  </si>
  <si>
    <t>a) Wie hoch wird das neue Format?</t>
  </si>
  <si>
    <t>b) Wie groß ist der Abbildungsmaßstab?</t>
  </si>
  <si>
    <t>Minox-Negative 8 mm x 11 mm (Kleinstbildformat) sollen ohne Motivverlust auf 9 cm x 13 cm-Papier</t>
  </si>
  <si>
    <t>vergrößert werden. Wie viel Prozent der Papierfläche werden nicht belichtet?</t>
  </si>
  <si>
    <t>Ein 24 mm x 36 mm Kleinbildnegativ soll auf 18 cm x 24 cm Fotopapier vergrößert werden.</t>
  </si>
  <si>
    <t>a) Welches Format hat die Vergrößerung bei voller Negativausnutzung?</t>
  </si>
  <si>
    <t>b) Welches Format hat der abgebildete Negativausschnitt, wenn das Papier voll ausgenutzt wird?</t>
  </si>
  <si>
    <t>Wie schwer sind 1000 Blatt DIN A4, wenn das Quadratmetergewicht 100 g beträgt?</t>
  </si>
  <si>
    <t>Rechteckfläche A</t>
  </si>
  <si>
    <t>DIN-Proportion</t>
  </si>
  <si>
    <t>Höhe b</t>
  </si>
  <si>
    <t>Fläche = Breite mal Höhe</t>
  </si>
  <si>
    <t>Breite = Höhe mal Wurzel(2)</t>
  </si>
  <si>
    <t>Breite a</t>
  </si>
  <si>
    <t>Breite aus Gleichung 2 in Gleichung 1 einsetzen</t>
  </si>
  <si>
    <t>Fläche = Höhe mal Wurzel(2) mal Höhe</t>
  </si>
  <si>
    <t>Gleichung umstellen, um Höhe zu berechnen</t>
  </si>
  <si>
    <t>Höhe = Wurzel(Fläche/Wurzel(2))</t>
  </si>
  <si>
    <t>Formatbreite 2</t>
  </si>
  <si>
    <t>Formathöhe 2</t>
  </si>
  <si>
    <t>Vergrößerungsfaktor</t>
  </si>
  <si>
    <t>Formatbreite 1</t>
  </si>
  <si>
    <t>Formathöhe 1</t>
  </si>
  <si>
    <t>Wie viel Blatt im Format DIN A5 (Quadratmetergewicht 125 g) enthält ein Papierstapel, der 10 Kilogramm wiegt?</t>
  </si>
  <si>
    <t>Quadratmeter-Gewicht des Papiers</t>
  </si>
  <si>
    <t>g/m²</t>
  </si>
  <si>
    <t>Gesamtgewicht des Papierstapels</t>
  </si>
  <si>
    <t>g</t>
  </si>
  <si>
    <t>Fläche DIN A 5 (148x210 mm)</t>
  </si>
  <si>
    <t>Papierfläche des 10 kg-Stapels</t>
  </si>
  <si>
    <t>Anzahl Blätter</t>
  </si>
  <si>
    <t>Variante 1</t>
  </si>
  <si>
    <t>Anzahl A5-Blätter in 1 qm</t>
  </si>
  <si>
    <t>Blätter A5 pro Quadratmeter</t>
  </si>
  <si>
    <t>Anzahl A5-Blätter in 80 qm</t>
  </si>
  <si>
    <t>DIN-Formate: 1 : Wurzel(2)</t>
  </si>
  <si>
    <t>Fläche</t>
  </si>
  <si>
    <t>A0</t>
  </si>
  <si>
    <t>A1</t>
  </si>
  <si>
    <t>A2</t>
  </si>
  <si>
    <t>A3</t>
  </si>
  <si>
    <t>A4</t>
  </si>
  <si>
    <t>A5</t>
  </si>
  <si>
    <t>Wie lang sind Breite und Höhe eines Formats, wenn deren Proportion 1 zu X ist und</t>
  </si>
  <si>
    <t>das Format eine Fläche von 1 m² haben soll?</t>
  </si>
  <si>
    <t>Proportionen</t>
  </si>
  <si>
    <t>B / H = 1 / wurzel(2)</t>
  </si>
  <si>
    <t>B = H * 1/wurzel(2)</t>
  </si>
  <si>
    <t>H = wurzel(2) * B</t>
  </si>
  <si>
    <r>
      <rPr>
        <sz val="11"/>
        <color rgb="FFFF0000"/>
        <rFont val="Calibri"/>
        <family val="2"/>
        <scheme val="minor"/>
      </rPr>
      <t>Fläche</t>
    </r>
    <r>
      <rPr>
        <sz val="10"/>
        <rFont val="Arial"/>
        <family val="2"/>
      </rPr>
      <t xml:space="preserve"> = B x H</t>
    </r>
  </si>
  <si>
    <t>Fläche = H * 1/wurzel(2) *  H</t>
  </si>
  <si>
    <t>Fläche = 1/wurzel(2) * H²</t>
  </si>
  <si>
    <t>H = wurzel(wurzel(2) * Fläche)</t>
  </si>
  <si>
    <t>Fläche = Wurzel(2) * B²</t>
  </si>
  <si>
    <t>B = wurzel(Fläche / wurzel(2))</t>
  </si>
  <si>
    <t>Formatbreite</t>
  </si>
  <si>
    <t>Formathöhe</t>
  </si>
  <si>
    <t>Wie viel Blatt WPK (10,5 cm x 14,8 cm) kann man aus 140 Bogen 65 cm x 100 cm</t>
  </si>
  <si>
    <t>herstellen ?</t>
  </si>
  <si>
    <t>WPK-Breite</t>
  </si>
  <si>
    <t>WPK-Höhe</t>
  </si>
  <si>
    <t>Bogen-Breite</t>
  </si>
  <si>
    <t>Bogen-Höhe</t>
  </si>
  <si>
    <t>Anzahl Bogen</t>
  </si>
  <si>
    <t>Stck.</t>
  </si>
  <si>
    <t>WPK-Anordnung im Hochformat</t>
  </si>
  <si>
    <t>WPK-Anordnung im Querformat</t>
  </si>
  <si>
    <t>Anzahl WPK nebeneinander</t>
  </si>
  <si>
    <t>abgerundet</t>
  </si>
  <si>
    <t>Anzahl WPK übereinander</t>
  </si>
  <si>
    <t>Gesamtzahl WPK</t>
  </si>
  <si>
    <t>Abfallstreifenbreite senkrecht</t>
  </si>
  <si>
    <t>Abfallstreifenhöhe senkrecht</t>
  </si>
  <si>
    <t>Streifenfläche senkrecht</t>
  </si>
  <si>
    <t>Abfallstreifenbreite waagerecht</t>
  </si>
  <si>
    <t>Abfallstreifenhöhe waagerecht</t>
  </si>
  <si>
    <t>Streifenfläche waagerecht</t>
  </si>
  <si>
    <t>Überlappende Streifenfläche</t>
  </si>
  <si>
    <t>Abfallfläche</t>
  </si>
  <si>
    <t>Bogenfläche</t>
  </si>
  <si>
    <t>Prozentualer Anteil des Abfalls</t>
  </si>
  <si>
    <t>Negativ-Breite</t>
  </si>
  <si>
    <t>mm</t>
  </si>
  <si>
    <t>Negativ-Höhe</t>
  </si>
  <si>
    <t>Papier-Breite</t>
  </si>
  <si>
    <t>Papier-Höhe</t>
  </si>
  <si>
    <t>Negativ: Länge zu Breite</t>
  </si>
  <si>
    <t>Papier: Länge zu Breite</t>
  </si>
  <si>
    <t>Vergrößerungsfaktor Höhe</t>
  </si>
  <si>
    <t>Breite des Bildes</t>
  </si>
  <si>
    <t>Höhe des Bildes</t>
  </si>
  <si>
    <t>Vergrößerungsfaktor Breite</t>
  </si>
  <si>
    <t>Bildfläche</t>
  </si>
  <si>
    <t>mm²</t>
  </si>
  <si>
    <t>Papierfläche</t>
  </si>
  <si>
    <t>Nichtgenutzte Papierfläche</t>
  </si>
  <si>
    <t>Flächenanteil</t>
  </si>
  <si>
    <t xml:space="preserve">Ein Karton mit den Maßen 50 cm mal 60 cm soll in Formate mit den Maßen 9 cm mal 13 cm aufgeschnitten werden. </t>
  </si>
  <si>
    <t>a) Wieviele kleine Formate kann man höchstens erhalten?</t>
  </si>
  <si>
    <t>b) Wieviel Prozent Verschnitt bleibt übrig?</t>
  </si>
  <si>
    <t>Lösung:</t>
  </si>
  <si>
    <t>23 Stück, 23 * 9 cm * 13 cm = 2691 cm²;  50 cm * 60 cm = 3000 cm²; Verschnitt: 309 cm² = 10,3 %</t>
  </si>
  <si>
    <t>(22 Stück, 22 * 9 cm * 13 cm = 2574 cm²;  50 cm * 60 cm = 3000 cm²; Verschnitt: 426 cm² = 14,2 %)</t>
  </si>
  <si>
    <t>Aus einem Karton 62 cm x 76 cm sollen 9 cm x 13 cm Formate geschnitten werden.</t>
  </si>
  <si>
    <t>a) Wie viele sind maximal herzustellen?</t>
  </si>
  <si>
    <t>b) Wie viel Prozent Verschnitt entstehen bei max. Nutzung?</t>
  </si>
  <si>
    <t>Fall1 Hochformat einpassen</t>
  </si>
  <si>
    <t>Fall 2 Querformat einpassen</t>
  </si>
  <si>
    <t>Fall 3 Optimal 38 Stück</t>
  </si>
  <si>
    <t>Papier-Format:</t>
  </si>
  <si>
    <t>mal</t>
  </si>
  <si>
    <t>Blattgröße</t>
  </si>
  <si>
    <t>Blätter im Format:</t>
  </si>
  <si>
    <t>Ganze Blätter</t>
  </si>
  <si>
    <t>Insgesamt:</t>
  </si>
  <si>
    <t>Reststreifen nutzen</t>
  </si>
  <si>
    <t>Rest-Streifen 1</t>
  </si>
  <si>
    <t>Rest-Streifen 2</t>
  </si>
  <si>
    <t>Blätter im Rest:</t>
  </si>
  <si>
    <t>Blätter insgesamt:</t>
  </si>
  <si>
    <t>Fläche Papier:</t>
  </si>
  <si>
    <t>Fläche Blätter:</t>
  </si>
  <si>
    <t>Verschnitt:</t>
  </si>
  <si>
    <t>Verschnitt in %</t>
  </si>
  <si>
    <t>Herstellen von Lösungen</t>
  </si>
  <si>
    <t>1. Wie viel Gramm Natriumsulfit enthalten 500 Gramm 6%ige Natriumsulfitlösung?</t>
  </si>
  <si>
    <t>2. Welche Konzentration hat eine chemische Lösung, wenn</t>
  </si>
  <si>
    <t>a)</t>
  </si>
  <si>
    <t>in 80 Gramm Lösung 5 Gramm Substanz enthalten sind?</t>
  </si>
  <si>
    <t>b)</t>
  </si>
  <si>
    <t>in 80 cm3 Wasser 5 g Substanz gelöst werden?</t>
  </si>
  <si>
    <t>3. Berechnen Sie die Konzentrationen der Lösungen:</t>
  </si>
  <si>
    <t>zu 5 g Substanz wird 14 Liter Wasser gegeben.</t>
  </si>
  <si>
    <t>zu 25 cm3 Wasser wird 25 g Fixiernatron gegeben.</t>
  </si>
  <si>
    <t>c)</t>
  </si>
  <si>
    <t>in 0,2 kg Lösung sind 0,5 g Substanz gelöst.</t>
  </si>
  <si>
    <t>4. Wie viel Wasser muss zu 5 g Soda gegeben werden, damit eine 2%ige Sodalösung entsteht?</t>
  </si>
  <si>
    <t>5. Welche Konzentration hat eine Lösung, wenn Substanz und Wasser im Verhältnis  a) 1 : 25   und   b) 3 : 5  gelöst werden?</t>
  </si>
  <si>
    <t>6. Es sollen 0,5 Liter Gebrauchslösung eines Entwicklers im Verhältnis 1 : 30 angesetzt werden.</t>
  </si>
  <si>
    <t>Wie viel cm³ Entwicklerkonzentrat und wie viel cm3 Wasser sind zu mischen?</t>
  </si>
  <si>
    <t>Wie hoch ist der Flüssigkeitsstand des Konzentrats in einer Mensur mit 2,2cm</t>
  </si>
  <si>
    <t>Durchmesser?</t>
  </si>
  <si>
    <t>7. 4%ige Kaliummetabisulfitlösung wird als Stoppbad benutzt. Wie viel Kaliummetabisulfit wird für 20 kg Stoppbad benötigt?</t>
  </si>
  <si>
    <t>8. Vervollständigen Sie das Raster:</t>
  </si>
  <si>
    <t>Substanzmenge</t>
  </si>
  <si>
    <t>Lösungsmittelmenge</t>
  </si>
  <si>
    <t>Lösungsmenge</t>
  </si>
  <si>
    <t>Konzentration</t>
  </si>
  <si>
    <t>160 g</t>
  </si>
  <si>
    <t>800 g</t>
  </si>
  <si>
    <t>1116 g</t>
  </si>
  <si>
    <t>1200 g</t>
  </si>
  <si>
    <t>315 g</t>
  </si>
  <si>
    <t>1192,5 g</t>
  </si>
  <si>
    <r>
      <t>M</t>
    </r>
    <r>
      <rPr>
        <b/>
        <sz val="12"/>
        <color indexed="10"/>
        <rFont val="Arial"/>
        <family val="2"/>
      </rPr>
      <t xml:space="preserve">ISCHUNGSRECHNEN MIT DEM </t>
    </r>
    <r>
      <rPr>
        <b/>
        <sz val="14"/>
        <color indexed="10"/>
        <rFont val="Arial"/>
        <family val="2"/>
      </rPr>
      <t>M</t>
    </r>
    <r>
      <rPr>
        <b/>
        <sz val="12"/>
        <color indexed="10"/>
        <rFont val="Arial"/>
        <family val="2"/>
      </rPr>
      <t>ISCHUNGSKREUZ</t>
    </r>
  </si>
  <si>
    <t xml:space="preserve">Das Mischungskreuz ist eine Hilfskonstruktion, die sich aus der allgemeinen </t>
  </si>
  <si>
    <t>Mischungsgleichung ableiten lässt.</t>
  </si>
  <si>
    <t xml:space="preserve">Es erleichtert das Mischungsrechnen, ist aber nicht auf Größen und Einheiten </t>
  </si>
  <si>
    <t>aufgebaut.</t>
  </si>
  <si>
    <t xml:space="preserve">Das Mischungskreuz erreicht seine Grenzen, wenn mehr als zwei unterschiedlich </t>
  </si>
  <si>
    <t>konzentrierte Lösungen eines reinen Stoffes gemischt werden.</t>
  </si>
  <si>
    <t>Geht man von  der Mischung zweier unterschiedlich konzentrierter Lösungen</t>
  </si>
  <si>
    <t>eines reinen Stoffes aus, so ergeben sich folgende Eintragungen ins Mischungskreuz.</t>
  </si>
  <si>
    <t xml:space="preserve">Konzentration der höher konzentrierte Lösung </t>
  </si>
  <si>
    <t>w1</t>
  </si>
  <si>
    <t xml:space="preserve">Konzentration der gering konzentrierten Lösung </t>
  </si>
  <si>
    <t>w2</t>
  </si>
  <si>
    <t xml:space="preserve">Konzentration der  Mischung </t>
  </si>
  <si>
    <t>wM</t>
  </si>
  <si>
    <t>Hinweis:</t>
  </si>
  <si>
    <t xml:space="preserve">Bei der Verdünnung einer Lösung wird die Konzentration der gering konzentrierten Lösung </t>
  </si>
  <si>
    <t>gleich 0 gesetzt (Lösungsmittel)!</t>
  </si>
  <si>
    <t>wM  - w2</t>
  </si>
  <si>
    <t xml:space="preserve">Portionen höher konzentrierte Lösung </t>
  </si>
  <si>
    <t xml:space="preserve"> w1 - wM</t>
  </si>
  <si>
    <t xml:space="preserve">Portionen gering konzentrierten Lösung </t>
  </si>
  <si>
    <t>gesamt:</t>
  </si>
  <si>
    <t xml:space="preserve">SUMME </t>
  </si>
  <si>
    <t>Portionen  gesamt</t>
  </si>
  <si>
    <t xml:space="preserve">Hinweis: </t>
  </si>
  <si>
    <t>Alle Portionen müssen die gleiche Masse haben.</t>
  </si>
  <si>
    <t xml:space="preserve">Zur Berechnung von zu mischenden Volumina muss die Dichte der Lösungen </t>
  </si>
  <si>
    <t>berücksichtigt werden.</t>
  </si>
  <si>
    <t>Die Berechnung mit dem Mischungskreuz ist folgendermaßen zu erweitern:</t>
  </si>
  <si>
    <t>1. Mischungsverhältnis der Lösungen in ml:</t>
  </si>
  <si>
    <r>
      <t xml:space="preserve">Teilvolumen in ml </t>
    </r>
    <r>
      <rPr>
        <sz val="12"/>
        <rFont val="Arial"/>
        <family val="2"/>
      </rPr>
      <t>=</t>
    </r>
    <r>
      <rPr>
        <sz val="10"/>
        <rFont val="Arial"/>
        <family val="2"/>
      </rPr>
      <t xml:space="preserve"> Teilportionen in g  </t>
    </r>
    <r>
      <rPr>
        <sz val="12"/>
        <rFont val="Arial"/>
        <family val="2"/>
      </rPr>
      <t>/</t>
    </r>
    <r>
      <rPr>
        <sz val="10"/>
        <rFont val="Arial"/>
        <family val="2"/>
      </rPr>
      <t xml:space="preserve">  Dichte in g / ml</t>
    </r>
  </si>
  <si>
    <t>2. Umrechen der Teilvolumen auf das Volumen der Mischung</t>
  </si>
  <si>
    <t>Volumen der Lösungen  = Teilvolumen * Volumen der  Mischung /  Summe aller Teilvolumen</t>
  </si>
  <si>
    <t>Eingabefelder</t>
  </si>
  <si>
    <t>Aufgabenstellung:</t>
  </si>
  <si>
    <t>1 Liter 15%ige Salpetersäure soll hergestellt werden.</t>
  </si>
  <si>
    <t>Zu Verfügung stehen 10%ige und 68%ige Säure .</t>
  </si>
  <si>
    <t>Bestimmen Sie das Mischungsverhältnis.</t>
  </si>
  <si>
    <t>Wieviel ml Säuren müssen gemischt werden?</t>
  </si>
  <si>
    <t>Entnehmen Sie die Dichten einem Tabellenwerk.</t>
  </si>
  <si>
    <t>gegeben:</t>
  </si>
  <si>
    <t xml:space="preserve">höher konzentrierte Lösung </t>
  </si>
  <si>
    <t>%</t>
  </si>
  <si>
    <t>Dichte g/ml</t>
  </si>
  <si>
    <t xml:space="preserve">geringer konzentrierte Lösung </t>
  </si>
  <si>
    <t xml:space="preserve"> %</t>
  </si>
  <si>
    <t>Endkonzentration</t>
  </si>
  <si>
    <t>Volumen der Mischung ca.</t>
  </si>
  <si>
    <t>ml</t>
  </si>
  <si>
    <t>g  entsprechend</t>
  </si>
  <si>
    <t>Ergebnis: Man mischt</t>
  </si>
  <si>
    <t>Teile</t>
  </si>
  <si>
    <t>%-ige  Lösung</t>
  </si>
  <si>
    <t>und</t>
  </si>
  <si>
    <t>oder</t>
  </si>
  <si>
    <t>man mischt:</t>
  </si>
  <si>
    <t>um</t>
  </si>
  <si>
    <t>%-ige  Lösung zu erhalten.</t>
  </si>
  <si>
    <t>Welches Volumen, welche Außenfläche, welche</t>
  </si>
  <si>
    <t xml:space="preserve">Kantenlänge hat ein Quader mit einer Breite von 50 cm, </t>
  </si>
  <si>
    <t>einer Höhe von 30 cm und einer Tiefe von 18 cm?</t>
  </si>
  <si>
    <t>Tiefe</t>
  </si>
  <si>
    <t>Kantenlänge</t>
  </si>
  <si>
    <t>4mal Breite + 4mal Höhe + 4mal Tiefe</t>
  </si>
  <si>
    <t>Außenfläche</t>
  </si>
  <si>
    <t>2mal Fläche 1 + 2mal Fläche 2 + 2mal Fläche 3</t>
  </si>
  <si>
    <t>Volumen</t>
  </si>
  <si>
    <t>cm³</t>
  </si>
  <si>
    <t>Breite * Höhe * Tiefe</t>
  </si>
  <si>
    <t>Längen, Flächen, Volumen</t>
  </si>
  <si>
    <t>Lösen Sie diese Aufgabe in diesem Tabellenblatt unterhalb des folgenden Textes.</t>
  </si>
  <si>
    <t>1. Entwickeln Sie ein allgemeines Berechnungsmodell, bei dem Länge, Breite und Höhe eines Quaders oder Würfels</t>
  </si>
  <si>
    <t>variiert werden können und jeweils das Volumen, die gesamte Außenfläche und die Gesamtlänge aller Kanten berechnet wird.</t>
  </si>
  <si>
    <t>Beispiel für eine Aufgabe, die man damit lösen können soll: Welches Volumen, welche Außenfläche, welche</t>
  </si>
  <si>
    <t>Kantenlänge hat ein Quader mit einer Breite von 50 cm, einer Höhe von 30 cm und einer Tiefe von 18 cm?</t>
  </si>
  <si>
    <t>3. Beschriften Sie alle Zellen, damit man weiß, welche Bedeutung die Zahlen haben.</t>
  </si>
  <si>
    <t>Gliedern Sie das Berechnungsblatt und formatieren Sie Zellen und Bereiche so, dass</t>
  </si>
  <si>
    <t>das Blatt leicht lesbar und gut nutzbar ist.</t>
  </si>
  <si>
    <t>gefärbte Zellen dürfen verändert werden.</t>
  </si>
  <si>
    <t>Eingaben:</t>
  </si>
  <si>
    <t>Breite:</t>
  </si>
  <si>
    <t>Höhe:</t>
  </si>
  <si>
    <t>Tiefe:</t>
  </si>
  <si>
    <t>Berechnungen:</t>
  </si>
  <si>
    <t>Volumen:</t>
  </si>
  <si>
    <r>
      <t>cm</t>
    </r>
    <r>
      <rPr>
        <vertAlign val="superscript"/>
        <sz val="10"/>
        <rFont val="Arial"/>
        <family val="2"/>
      </rPr>
      <t>3</t>
    </r>
  </si>
  <si>
    <t>V = b * h * t</t>
  </si>
  <si>
    <t>Außenfläche:</t>
  </si>
  <si>
    <t>O = 2 * h * b + 2 * t * h + 2 * b * t</t>
  </si>
  <si>
    <t>Deckflächen:</t>
  </si>
  <si>
    <t>Kurze Seitenflächen:</t>
  </si>
  <si>
    <t>Lange Seitenflächen:</t>
  </si>
  <si>
    <t>Alle Außenflächen:</t>
  </si>
  <si>
    <t>Kantenlänge:</t>
  </si>
  <si>
    <t>K = 4 * b + 4 * h + 4 * t</t>
  </si>
  <si>
    <t>In eine zylindrische Entwicklungsdose (Innendurchmesser 12 cm) werden 1,5 Liter Entwickler</t>
  </si>
  <si>
    <t xml:space="preserve">mit einer Dichte = 1,2  gegeben. </t>
  </si>
  <si>
    <t>a) Wird die obere Filmspule in der Dose in 14 cm Höhe durch den Entwickler abgedeckt ?</t>
  </si>
  <si>
    <t>b) Wieviel kg wiegt der Entwickler in der Dose ?</t>
  </si>
  <si>
    <t>Kreis = pi * r²  = 3,14 * 36 = 113,097 cm²;  Volumen = F * h = 113,097 cm² * 14 cm = 1583,36 cm³ &gt;&gt;Nein</t>
  </si>
  <si>
    <t>1500 cm³  * 1,2 g = 1800 g = 1,8 kg</t>
  </si>
  <si>
    <t>Rand</t>
  </si>
  <si>
    <t>px</t>
  </si>
  <si>
    <t>Bildbreite</t>
  </si>
  <si>
    <t>Anzahl Abstände</t>
  </si>
  <si>
    <t>Anzahl Bilder</t>
  </si>
  <si>
    <t>Pixel</t>
  </si>
  <si>
    <t>Eingabefelder sind farblich unterlegt, alle anderen Zellen enthalten Formeln</t>
  </si>
  <si>
    <t>Ausgangswert</t>
  </si>
  <si>
    <t>Bildhöhe</t>
  </si>
  <si>
    <t>Hintergrundbreite?</t>
  </si>
  <si>
    <t>Hintergrundhöhe</t>
  </si>
  <si>
    <t>Seitenverhältnis B/H</t>
  </si>
  <si>
    <t>Hintergrundbreite</t>
  </si>
  <si>
    <t>Seitenverhältnis</t>
  </si>
  <si>
    <t>Bildbreite original, B</t>
  </si>
  <si>
    <t>der Fotos?</t>
  </si>
  <si>
    <t>Bildhöhe original, H</t>
  </si>
  <si>
    <t>Bildhöhe auf Seite?</t>
  </si>
  <si>
    <t>Anzahl Bildspalten</t>
  </si>
  <si>
    <t>Anzahl Leerspalten</t>
  </si>
  <si>
    <t>Verwendung für Bilder?</t>
  </si>
  <si>
    <t>Breite aller Bilder</t>
  </si>
  <si>
    <t>Stege und Ränder?</t>
  </si>
  <si>
    <t>Restbreite</t>
  </si>
  <si>
    <t>Anzahl Bildzeilen</t>
  </si>
  <si>
    <t>Anzahl Leerzeilen</t>
  </si>
  <si>
    <t>Höhe aller Bilder</t>
  </si>
  <si>
    <t>Verwendung für Stege?</t>
  </si>
  <si>
    <t>Höhe aller Leerzeilen</t>
  </si>
  <si>
    <t>Resthöhe/Rand oben</t>
  </si>
  <si>
    <t>Positionen für die vertikalen Hilfslinien (von links nach rechts) in Pixel:</t>
  </si>
  <si>
    <t xml:space="preserve">Linker Rand: </t>
  </si>
  <si>
    <t xml:space="preserve">Bildspalte 1: </t>
  </si>
  <si>
    <t xml:space="preserve">Abstand 1: </t>
  </si>
  <si>
    <t>Bildspalte 2:</t>
  </si>
  <si>
    <t>Abstand 2:</t>
  </si>
  <si>
    <t>Bildspalte 3:</t>
  </si>
  <si>
    <t>Abstand 3:</t>
  </si>
  <si>
    <t>Bildspalte 4:</t>
  </si>
  <si>
    <t>Positionen für die horizontale Hilfslinien (von unten nach oben) in Pixel:</t>
  </si>
  <si>
    <t xml:space="preserve">Unterer Rand: </t>
  </si>
  <si>
    <t xml:space="preserve">Bildzeile 5: </t>
  </si>
  <si>
    <t>Bildzeile 4:</t>
  </si>
  <si>
    <t>Bildzeile 3:</t>
  </si>
  <si>
    <t>Bildzeile 2:</t>
  </si>
  <si>
    <t>Abstand 4:</t>
  </si>
  <si>
    <t>Bildzeile 1</t>
  </si>
  <si>
    <t>Eingabebereich:</t>
  </si>
  <si>
    <t>Hintergrund-Proportion: 1 zu</t>
  </si>
  <si>
    <t>Vorgabe der Bildbreite</t>
  </si>
  <si>
    <t>Anzahl Zwischenraumspalten</t>
  </si>
  <si>
    <t>Anzahl Zwischenraumzeilen</t>
  </si>
  <si>
    <t>Breitenverbrauch durch Bilder</t>
  </si>
  <si>
    <t>Restbreite für Zwischenraumspalten</t>
  </si>
  <si>
    <t>Breite Zwischenraumspalte</t>
  </si>
  <si>
    <t>Breite Zwischenraumzeile</t>
  </si>
  <si>
    <t>Position der vertikalen Hilfslinien (links-rechts)</t>
  </si>
  <si>
    <t>Linker Rand</t>
  </si>
  <si>
    <t>Bild 1</t>
  </si>
  <si>
    <t>Zwischenraumspalte 1</t>
  </si>
  <si>
    <t>Bild 2</t>
  </si>
  <si>
    <t>Zwischenraumspalte 2</t>
  </si>
  <si>
    <t>Bild 3</t>
  </si>
  <si>
    <t>Position der horizontalen Hilfslinien (oben-unten)</t>
  </si>
  <si>
    <t>Rand oben</t>
  </si>
  <si>
    <t>Zwischenraumzeile 1</t>
  </si>
  <si>
    <t>Zwischenraumzeile 2</t>
  </si>
  <si>
    <t>DIN-Reihe</t>
  </si>
  <si>
    <t>Fibonacci-Reihe</t>
  </si>
  <si>
    <t>Multiplizieren der vorhergehende Zahl mit Faktor Wurzel(2)</t>
  </si>
  <si>
    <t>Addieren der beiden vorhergehenden Zahlen, um die neue Zahl zu ermitteln</t>
  </si>
  <si>
    <t>grün unterlegte Zellen dürfen verändert werden</t>
  </si>
  <si>
    <t>Auflösung</t>
  </si>
  <si>
    <t>dpi</t>
  </si>
  <si>
    <t>Proportion</t>
  </si>
  <si>
    <t>DIN</t>
  </si>
  <si>
    <t>Anzahl Bilder nebeneinander</t>
  </si>
  <si>
    <t>Anzahl Bilder übereinander</t>
  </si>
  <si>
    <t>dpi dots per inch</t>
  </si>
  <si>
    <t>1 Inch =</t>
  </si>
  <si>
    <t>dots per cm</t>
  </si>
  <si>
    <t>Wie breit darf ein Bild sein, wenn die Ränder links und rechts</t>
  </si>
  <si>
    <t>Zwischenraum-Breite:</t>
  </si>
  <si>
    <t>Frei festgelegt</t>
  </si>
  <si>
    <t>Anzahl Zwischenräume und Ränder:</t>
  </si>
  <si>
    <t>Anzahl Bilder:</t>
  </si>
  <si>
    <t>Summe aller Zwischenräume u. _Ränder</t>
  </si>
  <si>
    <t>Restbreite für alle Bilder</t>
  </si>
  <si>
    <t>Breite eines Bildes</t>
  </si>
  <si>
    <t xml:space="preserve">Wie breit werden Ränder und Zwischenräume, wenn </t>
  </si>
  <si>
    <t>die Bildbreite vorgegeben wird?</t>
  </si>
  <si>
    <t>Bild-Breite:</t>
  </si>
  <si>
    <t>Summe der Bildbreiten</t>
  </si>
  <si>
    <t>Restbreite für Ränder und Zwischenräume</t>
  </si>
  <si>
    <t>Anzahl Ränder und Zwischenräume</t>
  </si>
  <si>
    <t>Rand- und Zwischenraumbreite</t>
  </si>
  <si>
    <t>Berechnung der Position der vertikalen Hilfslinien</t>
  </si>
  <si>
    <t>Linker Rand Bild 1</t>
  </si>
  <si>
    <t>Rechter Rand Bild 1</t>
  </si>
  <si>
    <t>Linker Rand Bild 2</t>
  </si>
  <si>
    <t>Rechter Rand Bild 2</t>
  </si>
  <si>
    <t>Linker Rand Bild 3</t>
  </si>
  <si>
    <t>Rechter Rand Bild 3</t>
  </si>
  <si>
    <t>Berechnung der Position der horizontalen Hilfslinien</t>
  </si>
  <si>
    <t>Papierformat: 30 cm mal 40 cm (B x H)</t>
  </si>
  <si>
    <t>Anzahl Bilder: 9</t>
  </si>
  <si>
    <t>Bildbreite: 8 cm</t>
  </si>
  <si>
    <t>Außenränder und Zwischenräume gleich breit</t>
  </si>
  <si>
    <t>Bildhöhe: Ergibt sich aus B zu H = 1 zu 1,5</t>
  </si>
  <si>
    <t>Auflösung des Ausgabegeräts: 200 dpi</t>
  </si>
  <si>
    <t>Gesucht werden pixelgenaue Positionen</t>
  </si>
  <si>
    <t>horizontal und vertikal für die Hilfslinen</t>
  </si>
  <si>
    <t>Ausgabeauflösung</t>
  </si>
  <si>
    <t>Anzahl Bilder horizontal</t>
  </si>
  <si>
    <t>Anzahl Bilder vertikal</t>
  </si>
  <si>
    <t>Papierbreite</t>
  </si>
  <si>
    <t>Papierhöhe</t>
  </si>
  <si>
    <t>Bild-Seitenverhältnis</t>
  </si>
  <si>
    <t>Umrechnungsfaktor Inch-cm</t>
  </si>
  <si>
    <t>Inch</t>
  </si>
  <si>
    <t>Summe Bildbreiten</t>
  </si>
  <si>
    <t>Summe Bildhöhen</t>
  </si>
  <si>
    <t>Breite aller Ränder, Zwischenräume</t>
  </si>
  <si>
    <t>horizontal</t>
  </si>
  <si>
    <t>vertikal</t>
  </si>
  <si>
    <t>Breite Rand, Zwischenraum</t>
  </si>
  <si>
    <t>Hilfslinien horizontal</t>
  </si>
  <si>
    <t>Hilfslinien vertikal</t>
  </si>
  <si>
    <t>Zwischenraum festlegen, z. B. auf 5 mm. Wie vielen Pixeln entspricht ein Zwischenraum von 5 mm?</t>
  </si>
  <si>
    <t>sowie die Zwischenräume einen festgelegten Wert haben?</t>
  </si>
  <si>
    <t>Oben frei festgelegt</t>
  </si>
  <si>
    <t>Aufgabe 3</t>
  </si>
  <si>
    <t>Anzahl gleichbreiter Leerspalten</t>
  </si>
  <si>
    <t>Breite Zwischenspalten</t>
  </si>
  <si>
    <t>Verwendung für Zwischenspalten?</t>
  </si>
  <si>
    <t>Breite aller Zwischenspalten</t>
  </si>
  <si>
    <t>Breite - Bildbreiten - Zwischenräume</t>
  </si>
  <si>
    <t>Restbreite, Rand links</t>
  </si>
  <si>
    <t>Anzahl gleichhoher Leerzeilen</t>
  </si>
  <si>
    <t>Höhe Zwischenzeilen</t>
  </si>
  <si>
    <t>Verwendung für Zwischenzeilen?</t>
  </si>
  <si>
    <t>Höhe aller Zwischenzeilen</t>
  </si>
  <si>
    <t>Höhe - Bildhöhen - Zwischenräume</t>
  </si>
  <si>
    <t>Resthöhe, Rand oben</t>
  </si>
  <si>
    <t xml:space="preserve">Bildzeile 3: </t>
  </si>
  <si>
    <t>Bildzeile 1:</t>
  </si>
  <si>
    <t>Alternative</t>
  </si>
  <si>
    <t>Abstand vertikal</t>
  </si>
  <si>
    <t>Abstand horizontal</t>
  </si>
  <si>
    <t>Bildspalten</t>
  </si>
  <si>
    <t>Bildzeilen</t>
  </si>
  <si>
    <t>Einzelbildhöhe</t>
  </si>
  <si>
    <t>Einzelbildbreite</t>
  </si>
  <si>
    <t>Vertikale Hilfslinien (von rechts)</t>
  </si>
  <si>
    <t>1.</t>
  </si>
  <si>
    <t>2.</t>
  </si>
  <si>
    <t>3.</t>
  </si>
  <si>
    <t>4.</t>
  </si>
  <si>
    <t>5.</t>
  </si>
  <si>
    <t>6.</t>
  </si>
  <si>
    <t>7.</t>
  </si>
  <si>
    <t>8.</t>
  </si>
  <si>
    <t>Horizontale Hilfslinien (von unten)</t>
  </si>
  <si>
    <t>300 dpi  Druckqualität</t>
  </si>
  <si>
    <t>96 dpi Bildschirmqualität</t>
  </si>
  <si>
    <t>1 Inch  = 2,54 cm</t>
  </si>
  <si>
    <t>Welche Breite und Höhe in cm hat ein Bild, das aus 2850 px mal 1498 px besteht,</t>
  </si>
  <si>
    <t>wenn es hochwertig gedruckt wird, bzw. auf einem Monitor wiedergegeben wird?</t>
  </si>
  <si>
    <t>Bildbreite in px</t>
  </si>
  <si>
    <t>Bildhöhe in px</t>
  </si>
  <si>
    <t>Auflösung hochwertiger Druck</t>
  </si>
  <si>
    <t>Auf einer Länge von 1 Inch gibt es 300 Pixel</t>
  </si>
  <si>
    <t>Auflösung Bildschirmqualität</t>
  </si>
  <si>
    <t>Auf einer Länge von 1 Inch gibt es 96 Pixel</t>
  </si>
  <si>
    <t>Umrechnungsfaktor Inch &gt; cm</t>
  </si>
  <si>
    <t>Bildbreite in Inch bei 300 dpi</t>
  </si>
  <si>
    <t>Inch/Zoll</t>
  </si>
  <si>
    <t>Wieviele Inch umfassen 2850 px?</t>
  </si>
  <si>
    <t>Bildhöhe in Inch bei 300 dpi</t>
  </si>
  <si>
    <t>Wieviele Inch umfassen 1498 px?</t>
  </si>
  <si>
    <t>Bildbreite in cm bei 300 dpi</t>
  </si>
  <si>
    <t>9,5 Inch mal 2,54</t>
  </si>
  <si>
    <t>Bildhöhe in cm bei 300 dpi</t>
  </si>
  <si>
    <t>4,993 Inch mal 2,54</t>
  </si>
  <si>
    <t>Bildbreite in Inch bei 96 dpi</t>
  </si>
  <si>
    <t>Bildhöhe in Inch bei 96 dpi</t>
  </si>
  <si>
    <t>Bildbreite in cm bei 96 dpi</t>
  </si>
  <si>
    <t>Bildhöhe in cm bei 96 dpi</t>
  </si>
  <si>
    <t>Welche Auflösung hat ein Foto mit folgenden Daten?</t>
  </si>
  <si>
    <t>Bildbreite in Pixeln</t>
  </si>
  <si>
    <t>Umrechnungsfaktor cm &gt; Inch</t>
  </si>
  <si>
    <t>Berechnungsbereich</t>
  </si>
  <si>
    <t>Bildproportion Breite/Höhe</t>
  </si>
  <si>
    <t>Bildhöhe in Pixeln</t>
  </si>
  <si>
    <t>Bildhöhe in Inch</t>
  </si>
  <si>
    <t>Bildbreite in Inch</t>
  </si>
  <si>
    <t>Auflösung vertikal</t>
  </si>
  <si>
    <t>Auflösung horizontal</t>
  </si>
  <si>
    <t>Eine Digitalkamera erzeugt eine Bilddatei mit einer Auflösung von 240 dpi, einer</t>
  </si>
  <si>
    <t>Bildbreite von 4000 px und einer Bildhöhe von 3000 px.</t>
  </si>
  <si>
    <t>Welche Größe hat das Bild, wenn es</t>
  </si>
  <si>
    <t>a) auf einem Monitor dargestellt wird (96 dpi),</t>
  </si>
  <si>
    <t>b) hochwertig auf Papier gedruckt wird (300 dpi)?</t>
  </si>
  <si>
    <t>Monitorauflösung</t>
  </si>
  <si>
    <t>Druckauflösung</t>
  </si>
  <si>
    <t>Breite auf Monitor</t>
  </si>
  <si>
    <t>inch</t>
  </si>
  <si>
    <t>Wie oft stecken 96 px in 4000 px?  4000 px / 96 px</t>
  </si>
  <si>
    <t>Höhe auf Monitor</t>
  </si>
  <si>
    <t>Wieviel cm stecken in 1 Inch?  2,54 cm = 1 Inch</t>
  </si>
  <si>
    <t>Breite im Druck</t>
  </si>
  <si>
    <t>Höhe im Druck</t>
  </si>
  <si>
    <t>Das von Powerpoint angebotene Standardformat für eine Bildschirm-Präsentation</t>
  </si>
  <si>
    <t>hat die Maße 25,4 mal 19,05 cm.</t>
  </si>
  <si>
    <t>Welche Bildgröße in Pixeln müssen Fotos haben, die dieses Folienformat</t>
  </si>
  <si>
    <t>vollständig füllen?</t>
  </si>
  <si>
    <t>Folienbreite</t>
  </si>
  <si>
    <t>Folienhöhe</t>
  </si>
  <si>
    <t>Auflösung Bildschirm/Beamer</t>
  </si>
  <si>
    <t>dpi ppi</t>
  </si>
  <si>
    <t>1 cm entspricht 0,3937 Inch</t>
  </si>
  <si>
    <t>Folienbreite in Inch</t>
  </si>
  <si>
    <t>Folienhöhe in Inch</t>
  </si>
  <si>
    <t>Folienbreite in Pixel</t>
  </si>
  <si>
    <t>Folienhöhe in Pixel</t>
  </si>
  <si>
    <t>Ein Photoshop-Datei wird bei einer Bildschirm-Auflösung von 96 dpi  18,15 cm breit</t>
  </si>
  <si>
    <t>und 13,07 cm hoch dargestellt.</t>
  </si>
  <si>
    <t>a) Aus wievielen Pixeln besteht das Bild?</t>
  </si>
  <si>
    <t>b) Welche Größe hat das Bild, wenn an diese Datei mit einer Auflösung von 300 dpi druckt?</t>
  </si>
  <si>
    <t>Bildbreite in Pixel</t>
  </si>
  <si>
    <t>Bildhöhe in Pixel</t>
  </si>
  <si>
    <t>Gesamtzahl Pixel</t>
  </si>
  <si>
    <t>Neue Auflösung</t>
  </si>
  <si>
    <t>Umrechnungsfaktor  Inch &gt; cm</t>
  </si>
  <si>
    <t>Im Umfeld von Fotografie und Bildbearbeitung gilt heute: Mit DPI und PPI ist dasselbe gemeint.</t>
  </si>
  <si>
    <t>ppi = Pixels per Inch</t>
  </si>
  <si>
    <t>dpi  = Dots per Inch (Punktdichte)</t>
  </si>
  <si>
    <t>Zusammenhang zwischen Wellenlänge und Frequenz</t>
  </si>
  <si>
    <t xml:space="preserve">Erstellen Sie ein Berechnungsmodell, mit dem man eine Frequenz in eine Wellenlänge, und umgekehrt, mit dem man die Wellenlänge einer Strahlung in eine Frequenz umrechnen kann. </t>
  </si>
  <si>
    <t xml:space="preserve">Beispiel: Mit welcher Wellenlänge (in Nanometern) strahlt WDR_2 sein Rundfunkprogramm aus, wenn der Sender auf der Frequenz 93,2 MHz zu hören ist? </t>
  </si>
  <si>
    <t xml:space="preserve">Jede Strahlung breitet sich im Vakuum mit einer Geschwindigkeit von 299.792.458 m/s (rund 300.000 km pro Sekunde) aus. </t>
  </si>
  <si>
    <t>Wellenlängen v. Strahlungsquellen:</t>
  </si>
  <si>
    <t>Einheiten/Faktoren:</t>
  </si>
  <si>
    <t>Langwellen 10 km</t>
  </si>
  <si>
    <t>Meter</t>
  </si>
  <si>
    <t>Mittelwellen 1 km</t>
  </si>
  <si>
    <t>Kurzwellen 100 m</t>
  </si>
  <si>
    <t>1 m in Millimetern:</t>
  </si>
  <si>
    <t>Ultrakurzwellen 10 m</t>
  </si>
  <si>
    <t>1 m in Mikrometern:</t>
  </si>
  <si>
    <t>Fernsehwellen 1 m</t>
  </si>
  <si>
    <t>1 m in Nanometern:</t>
  </si>
  <si>
    <t>Radar 1 mm</t>
  </si>
  <si>
    <t>Licht 500 nm</t>
  </si>
  <si>
    <t>Röntgenwellen 0,1 nm</t>
  </si>
  <si>
    <t>Gammastrahlen 0,0001 nm</t>
  </si>
  <si>
    <t>Überlegungen:</t>
  </si>
  <si>
    <t>Welchen Weg legt Strahlung in 1 Sekunde zurück?</t>
  </si>
  <si>
    <t>Wieviele Schwingungen macht die Strahlung in 1 Sekunde?</t>
  </si>
  <si>
    <t>Welchen Weg legt folglich 1 Schwingung zurück?</t>
  </si>
  <si>
    <t>Lösungsschritte:</t>
  </si>
  <si>
    <t>Umrechnen der Megahertz (Millionen Schwingungen) in Hertz (Schwingungen)</t>
  </si>
  <si>
    <t>Lichtweg in Nanometern umrechnen</t>
  </si>
  <si>
    <t>Länge einer Schwingung berechnen</t>
  </si>
  <si>
    <t>Beschriften Sie jede Zelle, markieren Sie Eingabefelder farbig und</t>
  </si>
  <si>
    <t>formatieren Sie die Tabelle, damit sie möglichst verständlich ist.</t>
  </si>
  <si>
    <t>Erstellen Sie eine Tabelle, die den Zusammenhang zwischen Wellenlänge</t>
  </si>
  <si>
    <t>Schall-</t>
  </si>
  <si>
    <t>Geschwindigkeit</t>
  </si>
  <si>
    <t>Schall-Frequenz</t>
  </si>
  <si>
    <t>Tonhöhe</t>
  </si>
  <si>
    <t>Wellenlänge</t>
  </si>
  <si>
    <t>Hertz</t>
  </si>
  <si>
    <t>Frequenz = Schwingungsanzahl je Sekunde</t>
  </si>
  <si>
    <t>Frequenz = Ausbreitungsstrecke je Sekunde / Wellenlänge</t>
  </si>
  <si>
    <t>Umrechnung Wellenlänge in Frequenz</t>
  </si>
  <si>
    <t>Frequenz = Schwingungen pro Sekunde:</t>
  </si>
  <si>
    <t>Licht:</t>
  </si>
  <si>
    <t>UKW (WDR 2):</t>
  </si>
  <si>
    <t>Wellenlänge (1 Schwingung) in nm:</t>
  </si>
  <si>
    <t>Lichtgeschwindigkeit in km/sek:</t>
  </si>
  <si>
    <t>Lichtgeschwindigkeit in m/sek:</t>
  </si>
  <si>
    <t>Lichtgeschwindigkeit in Millimeter/sek:</t>
  </si>
  <si>
    <t>Lichtgeschwindigkeit in Mikrometer/sek:</t>
  </si>
  <si>
    <t>Lichtgeschwindigkeit in Nanometer/sek:</t>
  </si>
  <si>
    <t>Wellenlänge ist in Wegstrecke (Sek.) enthalten:</t>
  </si>
  <si>
    <t>Frequenz = Schwingungen pro Sekunde in Mega-Hertz (MHz):</t>
  </si>
  <si>
    <t>Umrechnung Frequenz in Wellenlänge</t>
  </si>
  <si>
    <t>Frequenz in MHz:</t>
  </si>
  <si>
    <t>Lichtgeschwindigkeit in km/sek</t>
  </si>
  <si>
    <t>Frequenz in Hz:</t>
  </si>
  <si>
    <t>Eine Schallwelle hat eine Wellenlänge von 50 Millimeter.</t>
  </si>
  <si>
    <t>Welche Frequenz hat dieser Ton? Kann der Mensch diesen Ton hören?</t>
  </si>
  <si>
    <t>Hz</t>
  </si>
  <si>
    <t>Wellenlänge = zurückgelegte Strecke in 1 Sekunde / Frequenz</t>
  </si>
  <si>
    <t>Frequenz = zurückgelegte Strecke in 1 Sekunde / Wellenlänge</t>
  </si>
  <si>
    <t>Wellenlänge in:</t>
  </si>
  <si>
    <t>Nanometer</t>
  </si>
  <si>
    <t>Mikrometer</t>
  </si>
  <si>
    <t>Millimeter</t>
  </si>
  <si>
    <t>Kilometer</t>
  </si>
  <si>
    <t>Frequenz in</t>
  </si>
  <si>
    <t>Kilohertz</t>
  </si>
  <si>
    <t>Megahertz</t>
  </si>
  <si>
    <t>Lichtgeschwindigkeit:</t>
  </si>
  <si>
    <t>km/s</t>
  </si>
  <si>
    <t>m/s</t>
  </si>
  <si>
    <t>mm/s</t>
  </si>
  <si>
    <t>µm/s</t>
  </si>
  <si>
    <t>nm/s</t>
  </si>
  <si>
    <t>Mit welcher Frequenz strahlt eine blaue Lichtquelle (450 nm)?</t>
  </si>
  <si>
    <t>nm</t>
  </si>
  <si>
    <t>Lichtweg je Sekunde</t>
  </si>
  <si>
    <t>km</t>
  </si>
  <si>
    <t>µm</t>
  </si>
  <si>
    <t>Frequenz</t>
  </si>
  <si>
    <t>KHz</t>
  </si>
  <si>
    <t>MHz</t>
  </si>
  <si>
    <t>Ausdehnung einer Schwingung</t>
  </si>
  <si>
    <t>Wievielmal größer als die Wellenlänge von blauem Licht (450 nm)</t>
  </si>
  <si>
    <t>ist die Wellenlänge der vorgegebenen Strahlung?</t>
  </si>
  <si>
    <t>Erstellen Sie ein Berechnungsprogramm, mit dem man für Schallwellen</t>
  </si>
  <si>
    <t>a) eine Frequenz in eine Wellenlänge und</t>
  </si>
  <si>
    <t>b) eine Wellenlänge in eine Frequenz umrechnen kann.</t>
  </si>
  <si>
    <t>für a) Frequenz 12500 Hz</t>
  </si>
  <si>
    <t>für b) Wellenlänge = 23 cm</t>
  </si>
  <si>
    <t>Schallgeschwindigkeit</t>
  </si>
  <si>
    <t xml:space="preserve">Erstellen Sie ein Berechnungsprogramm, mit dem man </t>
  </si>
  <si>
    <t>für a) 1,6 Lichtjahre</t>
  </si>
  <si>
    <t>für b) Entfernung Erde-Mond in km (siehe Wikipedia)</t>
  </si>
  <si>
    <t>1 Lichtjahr ist die Entfernung, die Licht in 1 Jahr zurücklegt</t>
  </si>
  <si>
    <t>1 Jahr hat 365 * 24 * 60 * 60 Sekunden</t>
  </si>
  <si>
    <t>Lichtgeschwindigkeit</t>
  </si>
  <si>
    <t>Sek.</t>
  </si>
  <si>
    <t>Lichtjahre</t>
  </si>
  <si>
    <t>Sekunden</t>
  </si>
  <si>
    <t>Entfernung</t>
  </si>
  <si>
    <t>Entfernung Erde-Mond</t>
  </si>
  <si>
    <t>Reisedauer für Licht</t>
  </si>
  <si>
    <t>Lichttage</t>
  </si>
  <si>
    <t>Lichtstunden</t>
  </si>
  <si>
    <t>Lichtminuten</t>
  </si>
  <si>
    <t>Lichtsekunden</t>
  </si>
  <si>
    <t>Wie weit müssen die Antennen des WLAN-Routers auseinander liegen, wenn</t>
  </si>
  <si>
    <t>das Gerät mit einer Strahlungsfrequenz von 2,4 GHz sendet?</t>
  </si>
  <si>
    <t>Die Schallgeschwindigkeit in trockener Luft von 20 °C beträgt 343,2 m/s (1236 km/h)</t>
  </si>
  <si>
    <t>und Frequenz von Schallwellen im Bereich von 20 Hz bis 20000 Hz zeigt.</t>
  </si>
  <si>
    <t xml:space="preserve">Schallwellen breiten sich mit einer Geschwindigkeit von 343 Metern pro </t>
  </si>
  <si>
    <t>Sekunde in der Luft aus. Welche Wellenlänge hat eine Schallwelle mit</t>
  </si>
  <si>
    <t xml:space="preserve"> einem Ton, der eine Frequenz von 12000 Hz hat?</t>
  </si>
  <si>
    <t xml:space="preserve">Erstellen Sie ein Berechnungsmodell, mit dem man die Wellenlänge einer </t>
  </si>
  <si>
    <t>Strahlung in eine Frequenz umrechnen kann.</t>
  </si>
  <si>
    <t xml:space="preserve">Beispiel: Mit welcher Frequenz (in Hertz) strahlt ein Laser-Pointer, wenn </t>
  </si>
  <si>
    <t>die Wellenlänge 650 nm ist?</t>
  </si>
  <si>
    <t>a) die Entfernungsangabe "Lichtjahre" in Kilometer und</t>
  </si>
  <si>
    <t>b) Kilometer in "Lichtjahre" umrechnen kann.</t>
  </si>
  <si>
    <t>1 Jahr</t>
  </si>
  <si>
    <t xml:space="preserve">Die optimale Übertragungsleistung eines WLAN-Routers mit zwei Antennen </t>
  </si>
  <si>
    <t xml:space="preserve">wird erst bei einem Antennen-Abstand erreicht, der mindestens der </t>
  </si>
  <si>
    <t>halben Wellenlänge der verwendeten Strahlung entspricht.</t>
  </si>
  <si>
    <t>Strahlungsfrequenz</t>
  </si>
  <si>
    <t>GHz</t>
  </si>
  <si>
    <t>Strahlungsgeschwindigkeit</t>
  </si>
  <si>
    <t>cm/s</t>
  </si>
  <si>
    <t>Halbe Wellenlänge</t>
  </si>
  <si>
    <t>hörbar (40 Hz bis 20000 Hz)</t>
  </si>
  <si>
    <t>Eingabe:</t>
  </si>
  <si>
    <t>Augenhöhe in cm</t>
  </si>
  <si>
    <t>oberste sichtbare Höhe in cm</t>
  </si>
  <si>
    <t>unterste sichtbare Höhe in cm</t>
  </si>
  <si>
    <t>Ausgabe:</t>
  </si>
  <si>
    <t>Hälfte zw.unterer sichtbaren Höhe + Augenhöhe in cm</t>
  </si>
  <si>
    <t>Hälfte zw.oberer sichtbaren Höhe + Augenhöhe in cm</t>
  </si>
  <si>
    <t>Unterer Spiegelrand in cm</t>
  </si>
  <si>
    <t>Oberer Spiegelrand in cm</t>
  </si>
  <si>
    <t>Spiegelhöhe in cm</t>
  </si>
  <si>
    <t>Unterste sichtbare Motivhöhe in cm</t>
  </si>
  <si>
    <t>Oberste sichtbare Motivhöhe in cm</t>
  </si>
  <si>
    <t>Aufgabe: Welche Höhe muss ein Spiegel haben, in welcher Höhe muss die Oberkante montiert werden,</t>
  </si>
  <si>
    <t>Reflektionsgesetz (Einfallswinkel = Reflektionswinkel)</t>
  </si>
  <si>
    <t>Aufgabenteil 2: Welchen Bereich (obere und untere Höhe) zeigt ein schon montierter Spiegel?</t>
  </si>
  <si>
    <t>alternativ:</t>
  </si>
  <si>
    <t>Für eine beliebige Person soll die passende Spiegelhöhe</t>
  </si>
  <si>
    <t>sowie die Montagehöhe berechnet werden. Vorgegeben</t>
  </si>
  <si>
    <t>werden Augenhöhe, gewünschte oberste sichtbare Höhe</t>
  </si>
  <si>
    <t>und gewünschte unterste sichtbare Höhe.</t>
  </si>
  <si>
    <t>Augenhöhe:</t>
  </si>
  <si>
    <t>sichtbar oben</t>
  </si>
  <si>
    <t>sichtbar unten</t>
  </si>
  <si>
    <t>Höhe Spiegeloberkante</t>
  </si>
  <si>
    <t>Höhe Spiegelunterkante</t>
  </si>
  <si>
    <t>Spiegelhöhe</t>
  </si>
  <si>
    <t>Unterer Reflektionspunkt Spiegel = Augenhöhe - (Augenhöhe - Unterste sichtbare Höhe)/2</t>
  </si>
  <si>
    <t>Unterer Reflektionspunkt Spiegel = Blau - (Blau - Grün)/2</t>
  </si>
  <si>
    <t>Oberer Reflektionspunkt Spiegel = Augenhöhe + (Oberste sichtbare Höhe - Augenhöhe)/2</t>
  </si>
  <si>
    <t>Die Oberkante eines Spiegels befindet sich in einer Höhe von</t>
  </si>
  <si>
    <t>182 cm über dem Boden. Der Spiegel ist 43 cm hoch.</t>
  </si>
  <si>
    <t>Welche Höhe über Boden haben der unterste und der oberste</t>
  </si>
  <si>
    <t>sichtbare Ort für eine Person, die sich vor den Spiegel stellt?</t>
  </si>
  <si>
    <t>Augenhöhe</t>
  </si>
  <si>
    <t>Spiegeloberkante</t>
  </si>
  <si>
    <t>Spiegelunterkante</t>
  </si>
  <si>
    <t>Oberste sichtbare Höhe</t>
  </si>
  <si>
    <t>Unterste sichtbare Höhe</t>
  </si>
  <si>
    <t>Aufgabe: Ein Spiegel ist 76 cm hoch, die Oberkante befindet sich auf einer Höhe von 1,36 Meter.</t>
  </si>
  <si>
    <t>Welchen Höhenbereich sieht eine Person, deren Augenhöhe 168 cm ist?</t>
  </si>
  <si>
    <t>Gelb unterlegte Zellen dürfen verändert werden</t>
  </si>
  <si>
    <t>Spiegeloberkante auf</t>
  </si>
  <si>
    <t>sichtbare Höhe oben</t>
  </si>
  <si>
    <t>sichtbare Höhe unten</t>
  </si>
  <si>
    <t>Zwei Personen, die gemeinsam ein Badezimmer nutzen, wollen über dem Waschbecken einen</t>
  </si>
  <si>
    <t>Spiegel haben, der beide Personen jeweils von halber Körperhöhe bis 20 cm über Haarspitzen</t>
  </si>
  <si>
    <t>zeigt. Welche Spiegelhöhe muss gekauft werden, in welcher Höhe muss die Oberkante des</t>
  </si>
  <si>
    <t>Spiegels montiert werden?</t>
  </si>
  <si>
    <t>Weitere Daten: Körperhöhe Person 1: 186 cm und Körperhöhe Person 2: 172 cm</t>
  </si>
  <si>
    <t>Augenhöhe Person 1: 170 cm und Augenhöhe Person 2: 155 cm.</t>
  </si>
  <si>
    <t>gelb unterlegte Felder dürfen verändert werden</t>
  </si>
  <si>
    <t>Person 1</t>
  </si>
  <si>
    <t>Augenhöhe 1</t>
  </si>
  <si>
    <t>Körperhöhe 1</t>
  </si>
  <si>
    <t>zusätzliche Höhe</t>
  </si>
  <si>
    <t>Person 2</t>
  </si>
  <si>
    <t>Halbe Höhe P1 oben</t>
  </si>
  <si>
    <t>Halbe Höhe P1 unten</t>
  </si>
  <si>
    <t>Halbe Höhe P2 oben</t>
  </si>
  <si>
    <t>Halbe Höhe P2 unten</t>
  </si>
  <si>
    <t>Spiegel-Unterkante für Person 1</t>
  </si>
  <si>
    <t>Spiegel-Oberkante für Person 1</t>
  </si>
  <si>
    <t>Spiegel-Unterkante für Person 2</t>
  </si>
  <si>
    <t>Spiegel-Oberkante für Person 2</t>
  </si>
  <si>
    <t>Für beide brauchbare Spiegeloberkante:</t>
  </si>
  <si>
    <t>Für beide brauchbare Spiegelunterkante:</t>
  </si>
  <si>
    <t xml:space="preserve">Ein Spiegel soll gekauft und montiert werden, in dem sich eine Person, die 176 cm groß ist, </t>
  </si>
  <si>
    <t xml:space="preserve">deren Augenhöhe 160 cm ist, in voller Größe sehen kann. Welche Höhe muss der Spiegel haben </t>
  </si>
  <si>
    <t>und auf welcher Höhe befinden sich Ober- und Unterkante?</t>
  </si>
  <si>
    <t>Gelb gefüllte Zellen dürfen verändert werden</t>
  </si>
  <si>
    <t xml:space="preserve">Körperhöhe </t>
  </si>
  <si>
    <t>Spiegeloberkante = Augenhöhe + (Körperhöhe - Augenhöhe) / 2</t>
  </si>
  <si>
    <t>Spiegelunterkante = Augenhöhe/2</t>
  </si>
  <si>
    <t>Der Spiegel muss eine Höhe von 88 cm haben,</t>
  </si>
  <si>
    <t>Die Oberkante des Spiegels muss sich auf einer Höhe von 168 cm befinden,</t>
  </si>
  <si>
    <t>die Unterkante muss sich auf einer Höhe von 80 cm befinden</t>
  </si>
  <si>
    <t xml:space="preserve">Ein Spiegel soll gekauft und montiert werden, in dem sich eine Person, die 194 cm groß ist, </t>
  </si>
  <si>
    <t xml:space="preserve">deren Augenhöhe 179 cm ist, von den Haarspitzen bis zu den Knien (60 cm) sehen kann. </t>
  </si>
  <si>
    <t>Welche Höhe muss der Spiegel haben und auf welcher Höhe befinden sich Ober- und Unterkante?</t>
  </si>
  <si>
    <t>Obere sichtbare Höhe</t>
  </si>
  <si>
    <t>Untere sichtbare Höhe</t>
  </si>
  <si>
    <t>Spiegeloberkante = Augenhöhe + (obere sichtbare Höhe - Augenhöhe) / 2</t>
  </si>
  <si>
    <t>Spiegelunterkante = Augenhöhe - (Augenhöhe - untere sichtbare Höhe) / 2</t>
  </si>
  <si>
    <t>Eine Person mit einer Augenhöhe von 172 cm steht vor einem Spiegel, dessen Unterkante</t>
  </si>
  <si>
    <t>sich 110 cm über dem Fußboden befindet. Der Spiegel ist 84 cm hoch.</t>
  </si>
  <si>
    <t>Welchen Höhenbereich sieht die Person im Spiegel?</t>
  </si>
  <si>
    <t>Eine Person mit einer Augenhöhe von 172 cm möchte in einem Spiegel den</t>
  </si>
  <si>
    <t>Bereich von Kniehöhe (50 cm) bis Gürtelhöhe (115 cm) sehen.</t>
  </si>
  <si>
    <t>Auf welcher Höhe muss sich die Oberkante des Spiegels befinden?</t>
  </si>
  <si>
    <t>Welche Spiegelhöhe wird benötigt?</t>
  </si>
  <si>
    <t>Fertigen Sie eine Zeichnung an, die die Verhältnisse prinzipiell darstellt.</t>
  </si>
  <si>
    <t>Achten Sie auf gute Gliederung.</t>
  </si>
  <si>
    <t>Formulieren Sie einen Antwortsatz mit flexibler Zahlenangabe.</t>
  </si>
  <si>
    <t>Gelb unterlegte Zellen dürfen verändert werden.</t>
  </si>
  <si>
    <t>Sichtbarkeit Oberkante</t>
  </si>
  <si>
    <t>Sichtbarkeit Unterkante</t>
  </si>
  <si>
    <t>Spiegeloberkantenhöhe</t>
  </si>
  <si>
    <t>Spiegelunterkantenhöhe</t>
  </si>
  <si>
    <t>Eine Person ist 1,96 Meter groß. Die Augenhöhe liegt bei 86% der Gesamthöhe.</t>
  </si>
  <si>
    <t>Die Spiegelunterkante befindet sich bei 45,5% der Gesamthöhe über dem Fußboden.</t>
  </si>
  <si>
    <t>Die Spiegelhöhe ist 43,6% der Gesamthöhe.</t>
  </si>
  <si>
    <t>Welchen Bereich sieht die Person im Spiegel?</t>
  </si>
  <si>
    <t>Gesamthöhe</t>
  </si>
  <si>
    <t>% Augenhöhe</t>
  </si>
  <si>
    <t>% Spiegelunterkante</t>
  </si>
  <si>
    <t>% Spiegelhöhe</t>
  </si>
  <si>
    <t>Welche Wellenlänge hat Schall einer Frequenz von 20 Hertz, den Menschen als sehr tiefen Ton wahrnehmen?</t>
  </si>
  <si>
    <t>Ausbreitungsgeschwindigkeit</t>
  </si>
  <si>
    <t>Fall 1: Keine Vergütung</t>
  </si>
  <si>
    <t>Brechungsindex Luft n1</t>
  </si>
  <si>
    <t>Brechungsindex Glas n2</t>
  </si>
  <si>
    <t>Teilreflektion TR</t>
  </si>
  <si>
    <t>Teilreflektion TR in %</t>
  </si>
  <si>
    <t>Lichtintensität im Glas</t>
  </si>
  <si>
    <t>Fall 2: Eine Vergütungsschicht</t>
  </si>
  <si>
    <t>Vergütungsschicht n2</t>
  </si>
  <si>
    <t>Brechungsindex Glas n3</t>
  </si>
  <si>
    <t>Teilreflektion TR an Grenzfläche 1</t>
  </si>
  <si>
    <t>Lichtintensität in der Vergütungsschicht</t>
  </si>
  <si>
    <t>Teilreflektion TR an Grenzfläche 2</t>
  </si>
  <si>
    <t>Fall 3: Zwei Vergütungsschichten</t>
  </si>
  <si>
    <t>Vergütungsschicht 1, n2</t>
  </si>
  <si>
    <t>Vergütungsschicht 2, n3</t>
  </si>
  <si>
    <t>Lichtintensität in der Vergütungsschicht 1</t>
  </si>
  <si>
    <t>Lichtintensität in der Vergütungsschicht 2</t>
  </si>
  <si>
    <t>Teilreflektion TR an Grenzfläche 3</t>
  </si>
  <si>
    <t>Gesamtverlust einer vergüteten Oberfläche</t>
  </si>
  <si>
    <t>Lichtintensität nach Linsen-Oberfläche 2:</t>
  </si>
  <si>
    <t>Lichtintensität nach Linsen-Oberläche 3:</t>
  </si>
  <si>
    <t>Linse 2</t>
  </si>
  <si>
    <t>Lichtintensität nach Linsen-Oberläche 4:</t>
  </si>
  <si>
    <t>Lichtintensität nach Linsen-Oberläche 5:</t>
  </si>
  <si>
    <t>Linse 3</t>
  </si>
  <si>
    <t>Lichtintensität nach Linsen-Oberläche 6:</t>
  </si>
  <si>
    <t>Lichtintensität nach Linsen-Oberläche 7:</t>
  </si>
  <si>
    <t>Linse 4</t>
  </si>
  <si>
    <t>Lichtintensität nach Linsen-Oberläche 8:</t>
  </si>
  <si>
    <t>Lichtintensität nach Linsen-Oberläche 9:</t>
  </si>
  <si>
    <t>Linse 5</t>
  </si>
  <si>
    <t>Lichtintensität nach Linsen-Oberläche 10:</t>
  </si>
  <si>
    <t>Lichtintensität nach Linsen-Oberläche 11:</t>
  </si>
  <si>
    <t>Linse 6</t>
  </si>
  <si>
    <t>Lichtintensität nach Linsen-Oberläche 12:</t>
  </si>
  <si>
    <t>Lichtintensität nach Linsen-Oberläche 13:</t>
  </si>
  <si>
    <t>Linse 7</t>
  </si>
  <si>
    <t>Lichtintensität nach Linsen-Oberläche 14:</t>
  </si>
  <si>
    <t>Lichtintensität nach Linsen-Oberläche 15:</t>
  </si>
  <si>
    <t>Linse 8</t>
  </si>
  <si>
    <t>Restlicht = (Ausgangshelligkeit - Verlust)^Grenzflächenzahl</t>
  </si>
  <si>
    <t>Lichtintensität nach Linsen-Oberläche 16:</t>
  </si>
  <si>
    <t>Verlust</t>
  </si>
  <si>
    <t>Lichtintensität nach Linsen-Oberläche 17:</t>
  </si>
  <si>
    <t>Linse 9</t>
  </si>
  <si>
    <t>Lichtintensität nach Linsen-Oberläche 18:</t>
  </si>
  <si>
    <t>Restlicht</t>
  </si>
  <si>
    <t>Lichtverlust ohne Vergütung</t>
  </si>
  <si>
    <t>Brechungsindex</t>
  </si>
  <si>
    <t>Material 1</t>
  </si>
  <si>
    <t>Material 2</t>
  </si>
  <si>
    <t>Gesamt-Reflektion</t>
  </si>
  <si>
    <t>Reflektierter Lichtanteil = ( (n1 - n2) / (n1 + n2) ) ^2</t>
  </si>
  <si>
    <t>Lichtverlust mit Einfach-Vergütung</t>
  </si>
  <si>
    <t>Vergütungsschicht 1</t>
  </si>
  <si>
    <t>Teil-Reflektion 1</t>
  </si>
  <si>
    <t>Teil-Reflektion 2</t>
  </si>
  <si>
    <t>Lichtverlust mit Zweifach-Vergütung</t>
  </si>
  <si>
    <t>Vergütungsschicht 2</t>
  </si>
  <si>
    <t>Teil-Reflektion 3</t>
  </si>
  <si>
    <t>Lichtverlust mit Dreifach-Vergütung</t>
  </si>
  <si>
    <t>Vergütungsschicht 3</t>
  </si>
  <si>
    <t>Teil-Reflektion 4</t>
  </si>
  <si>
    <t>Problem:</t>
  </si>
  <si>
    <t>Licht dringt niemals vollständig in Glas ein, sondern wird immer teilweise reflektiert.</t>
  </si>
  <si>
    <t xml:space="preserve">Normales Fensterglas reflektiert rund 4% des einfallenden Lichts an jeder Grenzfläche </t>
  </si>
  <si>
    <t>zu Luft.</t>
  </si>
  <si>
    <t>Wieviel Licht erreicht das Filmmaterial, wenn ein Objektiv eine bestimmte Anzahl Glaslinsen enthält?</t>
  </si>
  <si>
    <t>Lichtverlust</t>
  </si>
  <si>
    <t>Lichtverlust an Grenzfläche 1</t>
  </si>
  <si>
    <t>Helligkeit nach Grenzfläche 1</t>
  </si>
  <si>
    <t>Lichtverlust an Grenzfläche 2</t>
  </si>
  <si>
    <t>Helligkeit nach Grenzfläche 2</t>
  </si>
  <si>
    <t>Lichtverlust an Grenzfläche 3</t>
  </si>
  <si>
    <t>Helligkeit nach Grenzfläche 3</t>
  </si>
  <si>
    <t>Lichtverlust an Grenzfläche 4</t>
  </si>
  <si>
    <t>Helligkeit nach Grenzfläche 4</t>
  </si>
  <si>
    <t>Lichtverlust an Grenzfläche 5</t>
  </si>
  <si>
    <t>Helligkeit nach Grenzfläche 5</t>
  </si>
  <si>
    <t>Lichtverlust an Grenzfläche 6</t>
  </si>
  <si>
    <t>Helligkeit nach Grenzfläche 6</t>
  </si>
  <si>
    <t>Lichtverlust an Grenzfläche 7</t>
  </si>
  <si>
    <t>Helligkeit nach Grenzfläche 7</t>
  </si>
  <si>
    <t>Lichtverlust an Grenzfläche 8</t>
  </si>
  <si>
    <t>Helligkeit nach Grenzfläche 8</t>
  </si>
  <si>
    <t>Lichtverlust an Grenzfläche 9</t>
  </si>
  <si>
    <t>Helligkeit nach Grenzfläche 9</t>
  </si>
  <si>
    <t>Lichtverlust an Grenzfläche 10</t>
  </si>
  <si>
    <t>Helligkeit nach Grenzfläche 10</t>
  </si>
  <si>
    <t>Lichtverlust an Grenzfläche 11</t>
  </si>
  <si>
    <t>Helligkeit nach Grenzfläche 11</t>
  </si>
  <si>
    <t>Lichtverlust an Grenzfläche 12</t>
  </si>
  <si>
    <t>Helligkeit nach Grenzfläche 12</t>
  </si>
  <si>
    <t>Lichtverlust an Grenzfläche 13</t>
  </si>
  <si>
    <t>Helligkeit nach Grenzfläche 13</t>
  </si>
  <si>
    <t>Lichtverlust an Grenzfläche 14</t>
  </si>
  <si>
    <t>Helligkeit nach Grenzfläche 14</t>
  </si>
  <si>
    <t>Lichtverlust an Grenzfläche 15</t>
  </si>
  <si>
    <t>Helligkeit nach Grenzfläche 15</t>
  </si>
  <si>
    <t>Lichtverlust an Grenzfläche 16</t>
  </si>
  <si>
    <t>Helligkeit nach Grenzfläche 16</t>
  </si>
  <si>
    <t>Lichtverlust an Grenzfläche 17</t>
  </si>
  <si>
    <t>Helligkeit nach Grenzfläche 17</t>
  </si>
  <si>
    <t>Ein 30-linsiges Objektiv ist durchgängig mit 2 Vergütungsschichten versehen, deren Brechungsindizes 1,2 und 1,4 sind.</t>
  </si>
  <si>
    <t>Der Brechungsindex von Luft ist 1,0 und der Brechungsindex von Glas 1,65.</t>
  </si>
  <si>
    <t>Linsenzahl</t>
  </si>
  <si>
    <t>Restlicht:</t>
  </si>
  <si>
    <t>Verlust:</t>
  </si>
  <si>
    <t>Anzahl Linsen</t>
  </si>
  <si>
    <t>Restlicht = (Ausgangsintensität - Verlust)^Grenzflächenzahl</t>
  </si>
  <si>
    <t>Wieviel Licht erreicht den Chip, wenn das Objektiv aus mehreren unvergüteten Linsen besteht?</t>
  </si>
  <si>
    <t>Wenn die Glasoberfläche vergütet ist, muss zunächst</t>
  </si>
  <si>
    <t>Wenn die Ausgangshelligkeit nicht angegeben ist, setzt man</t>
  </si>
  <si>
    <t>sie immer auf 100% = 1</t>
  </si>
  <si>
    <t>die Gesamtreflektion einer Linsenseite (Luft, Schichten, Glas) berechnet</t>
  </si>
  <si>
    <t>Verlust an einer Linsenseite</t>
  </si>
  <si>
    <t>Linsenseiten</t>
  </si>
  <si>
    <t>Anzahl Linsenoberflächen</t>
  </si>
  <si>
    <t>werden. Dann mit diesem Wert den Gesamtverlust aller Linsen berechnen.</t>
  </si>
  <si>
    <t>Reflektierter Lichtanteil (Teilreflektion TR) = ( (n1 - n2) / (n1 + n2) ) ^2</t>
  </si>
  <si>
    <t>Der Lichtübergang von einem durchsichtigen Medium in ein anderes ist immer mit</t>
  </si>
  <si>
    <t>mit einer Teilreflexion verbunden. Man berechnet sie mit der Formel:</t>
  </si>
  <si>
    <t>n1:</t>
  </si>
  <si>
    <t>n2:</t>
  </si>
  <si>
    <t>Regeln?</t>
  </si>
  <si>
    <t>Je größer der Unterschied in den Brechungsindizes ist, umso stärker die Teilreflexion</t>
  </si>
  <si>
    <t>Bei gleichem Unterschied ist die Teilreflexion dann größer, wenn der Ausgangswert kleiner ist.</t>
  </si>
  <si>
    <t xml:space="preserve">Zeigen Sie, dass mehrere Vergütungsschichten, die geeignete </t>
  </si>
  <si>
    <t xml:space="preserve">Brechungsindizes aufweisen, dafür sorgen, dass die </t>
  </si>
  <si>
    <t>Gesamt-Reflexion immer geringer wird.</t>
  </si>
  <si>
    <t>Luft</t>
  </si>
  <si>
    <t>n1 = 1</t>
  </si>
  <si>
    <t xml:space="preserve">1. Ermitteln Sie die Teilreflexion (Spiegelungsintensität), wenn das Licht folgende transparente </t>
  </si>
  <si>
    <t>n2 = 1,1</t>
  </si>
  <si>
    <t>n3 = 1,25</t>
  </si>
  <si>
    <t>n4 = 1,35</t>
  </si>
  <si>
    <t>2. Ermitteln Sie die Teilreflexion, wenn die Lichtrichtung umgekehrt ist (Zahlen wie in Aufgabe 1)</t>
  </si>
  <si>
    <t>Glas</t>
  </si>
  <si>
    <t>n5 = 1,5</t>
  </si>
  <si>
    <t xml:space="preserve">3. Ermitteln Sie den optimalen Brechungsindex für eine Vergütungsschicht, wenn die beiden </t>
  </si>
  <si>
    <t>anderen Materialien den Brechungsindex 1 = 1,2 und den Brechungsindex 2 = 1,6 haben.</t>
  </si>
  <si>
    <t>Reflexionsanteil</t>
  </si>
  <si>
    <r>
      <t>Durchgang</t>
    </r>
    <r>
      <rPr>
        <b/>
        <sz val="10"/>
        <color indexed="53"/>
        <rFont val="Arial"/>
        <family val="2"/>
      </rPr>
      <t>/Verlust</t>
    </r>
  </si>
  <si>
    <t>einzeln</t>
  </si>
  <si>
    <t>1. Oberfläche:</t>
  </si>
  <si>
    <t>2. Oberfläche:</t>
  </si>
  <si>
    <t>3. Oberfläche:</t>
  </si>
  <si>
    <t>4. Oberfläche:</t>
  </si>
  <si>
    <t>5. Oberfläche:</t>
  </si>
  <si>
    <t>6. Oberfläche:</t>
  </si>
  <si>
    <t>7. Oberfläche:</t>
  </si>
  <si>
    <t>8. Oberfläche:</t>
  </si>
  <si>
    <t>Formel:</t>
  </si>
  <si>
    <t>ohne</t>
  </si>
  <si>
    <t>n1</t>
  </si>
  <si>
    <t>n4</t>
  </si>
  <si>
    <t>einfach</t>
  </si>
  <si>
    <t>n2</t>
  </si>
  <si>
    <t>n3</t>
  </si>
  <si>
    <t>zweifach</t>
  </si>
  <si>
    <t>dreifach</t>
  </si>
  <si>
    <t>n5</t>
  </si>
  <si>
    <t>Vergütung</t>
  </si>
  <si>
    <t>Materialien durchläuft: Material 1 mit n1 = 1,1, Material 2 mit n2 = 1,3 und Material 3 mit n3 = 1,5 (eine Vergütungsschicht).</t>
  </si>
  <si>
    <t>Brechungsindex des ersten Mediums = n1</t>
  </si>
  <si>
    <t>Brechungsindex des folgenden Mediums = n2</t>
  </si>
  <si>
    <t>Eingabefeld 1</t>
  </si>
  <si>
    <t>Eingabefeld 2</t>
  </si>
  <si>
    <t>ohne Vergütung</t>
  </si>
  <si>
    <t>Ein Guthaben wird jedes Jahr mit 5 % verzinst.</t>
  </si>
  <si>
    <t>Welche Summe wird nach 10 Jahren erreicht?</t>
  </si>
  <si>
    <t>Zinssatz</t>
  </si>
  <si>
    <t>Ende Jahr 1</t>
  </si>
  <si>
    <t>Ende Jahr 2</t>
  </si>
  <si>
    <t>Ende Jahr 3</t>
  </si>
  <si>
    <t>Ende Jahr 4</t>
  </si>
  <si>
    <t>Ende Jahr 5</t>
  </si>
  <si>
    <t>Ende Jahr 6</t>
  </si>
  <si>
    <t>Ende Jahr 7</t>
  </si>
  <si>
    <t>Ende Jahr 8</t>
  </si>
  <si>
    <t>Ende Jahr 9</t>
  </si>
  <si>
    <t>Ende Jahr 10</t>
  </si>
  <si>
    <t>alternativ mit Formel:</t>
  </si>
  <si>
    <t>Brechungsindex Luft</t>
  </si>
  <si>
    <t>Brechungsindex Glas</t>
  </si>
  <si>
    <t>Luft - Schicht 1</t>
  </si>
  <si>
    <t>Schicht 1 - Schicht 2</t>
  </si>
  <si>
    <t>Schicht 2 - Glas</t>
  </si>
  <si>
    <t>Ausgangslichtintensität</t>
  </si>
  <si>
    <t>Linse 1</t>
  </si>
  <si>
    <t>Linsenoberfläche 1, Grenzfläche 1</t>
  </si>
  <si>
    <t>Linsenoberfläche 1, Grenzfläche 2</t>
  </si>
  <si>
    <t>Linsenoberfläche 1, Grenzfläche 3</t>
  </si>
  <si>
    <t>Linsenoberfläche 2, Grenzfläche 1</t>
  </si>
  <si>
    <t>Linsenoberfläche 2, Grenzfläche 2</t>
  </si>
  <si>
    <t>Linsenoberfläche 2, Grenzfläche 3</t>
  </si>
  <si>
    <t>Kurzform/Vereinfachung der Berechnung:</t>
  </si>
  <si>
    <t>Verluste durch Reflektion:</t>
  </si>
  <si>
    <t>Verlust an Linsenseite 1</t>
  </si>
  <si>
    <t>Gesamtverlust</t>
  </si>
  <si>
    <t xml:space="preserve">Achtung: Werte der Schichtenverluste können nicht einfach addiert werden, weil der </t>
  </si>
  <si>
    <t>nächste Verlust vom Wert berechnet werden muss, der nach dem ersten Verlust übrig bleibt!</t>
  </si>
  <si>
    <t>Verlust = 100% - Restlicht</t>
  </si>
  <si>
    <t>Restlicht = (Ausgangslichtintensität - Reflexionsverlust an Linsenseite) hoch (Linsenseitenanzahl)</t>
  </si>
  <si>
    <t xml:space="preserve">  Reflektierter Lichtanteil = ( (n1 - n2) / (n1 + n2) ) ^2</t>
  </si>
  <si>
    <t>Eingabewerte:</t>
  </si>
  <si>
    <t>Die abgewandelte Formel kommt bei der Berechung der Teilreflektion zum Zug:</t>
  </si>
  <si>
    <t>Der Verlust an Linsenseite 1 muss also immer ausführlich berechnet werden.</t>
  </si>
  <si>
    <t>Um die Kurzform der Berechnung zu verstehen, soll das Prinzip am Beispiel der Zinsrechnung gezeigt werden.</t>
  </si>
  <si>
    <t>Links befindet sich die Schritt für Schritt-Berechnung, rechts die Berechnung mit einer Formel.</t>
  </si>
  <si>
    <t xml:space="preserve">Wenn man die diese Formel mit der Formel für die Berechnung des restlichen Lichts nach dem Durchgang durch </t>
  </si>
  <si>
    <t>viele Medien/Linsen vergleicht, erkennt man die Ähnlichkeit.</t>
  </si>
  <si>
    <t>Ausführliche Berechnung:</t>
  </si>
  <si>
    <t>Endwert = Startkapital mal (1 + Zinssatz) hoch Periodenzahl</t>
  </si>
  <si>
    <t>Brechungsindex 1</t>
  </si>
  <si>
    <t>Brechungsindex 2</t>
  </si>
  <si>
    <t xml:space="preserve"> den Spalten</t>
  </si>
  <si>
    <t>Zuwachs in</t>
  </si>
  <si>
    <t>Reflektiertes Licht in Prozent</t>
  </si>
  <si>
    <t>Reflektiertes Licht dezimal</t>
  </si>
  <si>
    <t>Differenz Index 2-Index 1</t>
  </si>
  <si>
    <t>Gesamtreflektion</t>
  </si>
  <si>
    <t>Berechnung für weitere Linsenoberflächen:</t>
  </si>
  <si>
    <t>Logische Schritte:</t>
  </si>
  <si>
    <t>Beispiel 1</t>
  </si>
  <si>
    <t>Beispiel 2</t>
  </si>
  <si>
    <t xml:space="preserve">Beleuchtungsabstand wird verdoppelt bzw. verdreifacht. </t>
  </si>
  <si>
    <t>Abstandsänderungsfaktor Aäf</t>
  </si>
  <si>
    <t>Bildbreite verdoppelt bzw. verdreifacht sich</t>
  </si>
  <si>
    <t>Breitenänderungsfaktor entspricht Aäf</t>
  </si>
  <si>
    <t>Bildhöhe verdoppelt bzw. verdreifacht sich</t>
  </si>
  <si>
    <t>Höhenänderungsfaktor entspricht Aäf</t>
  </si>
  <si>
    <t xml:space="preserve">Bildfläche vervierfacht bzw. verneunfacht sich:  Fläche = Breite mal Höhe, </t>
  </si>
  <si>
    <t>2 * 2 = 4</t>
  </si>
  <si>
    <t>3 * 3 = 9</t>
  </si>
  <si>
    <t>Flächenänderungsfaktor Fäf = Aäf * Aäf = Aäf^2</t>
  </si>
  <si>
    <t>also Verdoppelung mal Verdoppelung = Vervierfachung bzw.</t>
  </si>
  <si>
    <t>2²</t>
  </si>
  <si>
    <t>3²</t>
  </si>
  <si>
    <t>Verdreifachung mal Verdreifachung = Verneunfachung</t>
  </si>
  <si>
    <t>Helligkeit nimmt ab, weil die Fläche größer ist</t>
  </si>
  <si>
    <t xml:space="preserve"> 1/4</t>
  </si>
  <si>
    <t xml:space="preserve"> 1/9</t>
  </si>
  <si>
    <t>Helligkeitsänderungsfaktor Häf = 1/Aäf^2 = 1/Fäf</t>
  </si>
  <si>
    <t>Kehrwert des Flächenwerts</t>
  </si>
  <si>
    <t>Helligkeit wird von 100% auf 25% vermindert</t>
  </si>
  <si>
    <t>Helligkeitsänderungsfaktor Häf</t>
  </si>
  <si>
    <t>Häf = Neuer Wert / Alter Wert</t>
  </si>
  <si>
    <t>Häf = 25/100</t>
  </si>
  <si>
    <t>Wie hat sich die beleuchtete Fläche verändert?</t>
  </si>
  <si>
    <t xml:space="preserve"> 4/1</t>
  </si>
  <si>
    <t xml:space="preserve"> 9/1</t>
  </si>
  <si>
    <t>Flächenänderungsfaktor Fäf = 1/Häf</t>
  </si>
  <si>
    <t>Wurzel (4)</t>
  </si>
  <si>
    <t>Wurzel (9)</t>
  </si>
  <si>
    <t>Höhenänderungsfaktor = Wurzel aus Fäf</t>
  </si>
  <si>
    <t>Breitenänderungsfaktor = Wurzel aus Fäf</t>
  </si>
  <si>
    <t>Abstandsänderungsfaktor Aäf = Wurzel aus Fäf</t>
  </si>
  <si>
    <t>Wie hat sich der Beleuchtungsabstand verändert?</t>
  </si>
  <si>
    <t>Formel: Ursprünglicher Beleuchtungsabstand mal Abstandsänderungsfaktor</t>
  </si>
  <si>
    <t>Eine Leinwand wird aus 3 Metern Abstand beleuchtet (entspricht 100% Intensität).</t>
  </si>
  <si>
    <t>Die beleuchtete Fläche hat eine Größe von 2 mal 1 Meter.</t>
  </si>
  <si>
    <t>Welcher Beleuchtungsabstand ist gegeben, wenn die  Lichtintensität z. B. 70% beträgt?</t>
  </si>
  <si>
    <t>Welche Fläche wird beleuchtet, wenn die  Lichtintensität z. B. 50% beträgt?</t>
  </si>
  <si>
    <t>1. Entwickeln Sie ein allgemeines Berechnungsmodell, bei dem die Lichtintensität und die Maße der Ausgangsfläche</t>
  </si>
  <si>
    <t>variiert werden können und jeweils der neue Beleuchtungsabstand sowie die beleuchtete Fläche errechnet werden.</t>
  </si>
  <si>
    <t>2. Erweitern Sie das Berechnungsmodell um die Berechnung der beiden Flächendiagonalen.</t>
  </si>
  <si>
    <t>Regel: Die Helligkeit nimmt mit dem Quadrat des Änderungsfaktors für den Abstand zu oder ab, oder,</t>
  </si>
  <si>
    <t>die Helligkeit nimmt in gleichem Maß zu, wie die beleuchtete Fläche abnimmt und umgekehrt.</t>
  </si>
  <si>
    <t>4. Erweitern Sie das Berechnungsmodell um die Berechnung des Beleuchtungswinkels</t>
  </si>
  <si>
    <t>(der Öffnungswinkel des Lichtkegels).</t>
  </si>
  <si>
    <t>Zur Berechung des Winkels benötigt man die Diagonale der Fläche sowie die Funktionen grad und arctan.</t>
  </si>
  <si>
    <t>gelb unterlegte Zellen dürfen verändert werden</t>
  </si>
  <si>
    <t>Flächenbreite</t>
  </si>
  <si>
    <t>Flächenhöhe</t>
  </si>
  <si>
    <t>Beleuchtungsabstand 1</t>
  </si>
  <si>
    <t>Beleuchtungsabstand 2</t>
  </si>
  <si>
    <t>Basis-Licht-Intensität</t>
  </si>
  <si>
    <t>Prozent</t>
  </si>
  <si>
    <t>Beleuchtungsabstand</t>
  </si>
  <si>
    <t>Breite der beleuchteten Fläche</t>
  </si>
  <si>
    <t>Höhe der beleuchteten Fläche</t>
  </si>
  <si>
    <t>Neue Intensität</t>
  </si>
  <si>
    <t>Ausgangsfläche</t>
  </si>
  <si>
    <t>Quadratmeter</t>
  </si>
  <si>
    <t>Neue Flächengröße</t>
  </si>
  <si>
    <t>Neue Breite der bel. Fläche</t>
  </si>
  <si>
    <t>Neue Höhe der bel. Fläche</t>
  </si>
  <si>
    <t>Neuer Beleuchtungsabstand</t>
  </si>
  <si>
    <t>Diagonale Ausgangsfläche</t>
  </si>
  <si>
    <t>Diagonale veränderte Fläche</t>
  </si>
  <si>
    <t>Ein Projektor wird von 3,5 Metern Projektionsabstand auf eine andere Distanz geschoben,</t>
  </si>
  <si>
    <t>die einen Lichtverlust von 38% ergibt. Berechnen Sie die neue Projektionsweite.</t>
  </si>
  <si>
    <t>Helligkeitsverlust</t>
  </si>
  <si>
    <t>Ausgangsprojektionsweite</t>
  </si>
  <si>
    <t>Veränderte Helligkeit</t>
  </si>
  <si>
    <t>Der Änderungsfaktor errechnet sich aus der Division (Verhältnis) des Zielwertes durch den Ausgangswert.</t>
  </si>
  <si>
    <t>Helligkeitsänderungsfaktor, häf</t>
  </si>
  <si>
    <t>Zielwert</t>
  </si>
  <si>
    <t>Änderungsfaktor</t>
  </si>
  <si>
    <t>62 /100</t>
  </si>
  <si>
    <t>Flächenänderungsfaktor, fäf</t>
  </si>
  <si>
    <t>Wenn die Fläche z. B. viermal größer geworden ist, wird jeder Punkt der Fläche</t>
  </si>
  <si>
    <t>nur noch von 1/4 des Lichts getroffen. fäf = 1/häf oder häf = 1/fäf</t>
  </si>
  <si>
    <t>Abstandsänderungsfaktor, aäf</t>
  </si>
  <si>
    <t>Funktion =wurzel() verwenden</t>
  </si>
  <si>
    <t>Veränderte Projektionsweite</t>
  </si>
  <si>
    <t>Neue Projektionsweite = Alte Proj.-weite mal Abst.-änd.-faktor</t>
  </si>
  <si>
    <t>Zwei Vergrößerungen wurden a) 16 Sekunden und b) 34 Sekunden belichtet.</t>
  </si>
  <si>
    <t>Aus welcher Projektionshöhe wurde das kleinere Bild belichtet, wenn das</t>
  </si>
  <si>
    <t>größere Bild aus 78 cm Höhe projiziert wurde?</t>
  </si>
  <si>
    <t>Belichtungszeit kleines Bild</t>
  </si>
  <si>
    <t>Belichtungszeit großes Bild</t>
  </si>
  <si>
    <t>Projektionsabstand 1</t>
  </si>
  <si>
    <t>Belichtungskorr.-faktor = fäf</t>
  </si>
  <si>
    <t>Die Belichtung muss sich in gleichem Maß ändern</t>
  </si>
  <si>
    <t>wie sich die beleuchtete Fläche ändert.</t>
  </si>
  <si>
    <t>Neuer Projektionsabstand</t>
  </si>
  <si>
    <t xml:space="preserve"> ="Anwort: Der neue Projektionsabstand ist "&amp;RUNDEN(C53;2)&amp;" cm."</t>
  </si>
  <si>
    <t xml:space="preserve"> ="Antwort: Die neue Projektionsweite ist "&amp;B139&amp;" Meter"</t>
  </si>
  <si>
    <t xml:space="preserve"> ="Antwort: Die neue Projektionsweite ist "&amp;RUNDEN(B139;2)&amp;" Meter"</t>
  </si>
  <si>
    <t xml:space="preserve"> =WURZEL(B165)</t>
  </si>
  <si>
    <t xml:space="preserve"> =B161/B162</t>
  </si>
  <si>
    <t xml:space="preserve"> =B163*B166</t>
  </si>
  <si>
    <t>Aufnahmeabstand in mm:</t>
  </si>
  <si>
    <t>Bildweite a‘ = f + 1 / (a / f - 1) * f</t>
  </si>
  <si>
    <t>Brennweite in mm:</t>
  </si>
  <si>
    <t xml:space="preserve">Quadrat des Änderungsfaktors der Bildweite = (a‘ / f)^2 </t>
  </si>
  <si>
    <t>Belichtungszeit in Sek.:</t>
  </si>
  <si>
    <t>Bildhelligkeit = 100% /  (a‘ / f)^2</t>
  </si>
  <si>
    <t>korrigierte Bel.-zeit = gemessene Bel.-zeit * (a‘ / f)^2</t>
  </si>
  <si>
    <t>Zwischenergebnisse</t>
  </si>
  <si>
    <t>Gegenstandsweite a = f + f / V)</t>
  </si>
  <si>
    <t>Abbildungsmaßstab, dezimal:</t>
  </si>
  <si>
    <t>Abbildungsmaßstab,      1 :</t>
  </si>
  <si>
    <t>Bildweite:</t>
  </si>
  <si>
    <t>Endergebnisse:</t>
  </si>
  <si>
    <t xml:space="preserve">Bildhelligkeit:         </t>
  </si>
  <si>
    <t>Bildhelligkeit als Bruchteil,    1  /</t>
  </si>
  <si>
    <t>korrigierte Belichtungszeit:</t>
  </si>
  <si>
    <t>Änderungsfaktor Projektionsabstand</t>
  </si>
  <si>
    <t>Abb.-maßstab V = 1 / (a / f - 1)</t>
  </si>
  <si>
    <t>Wenn man die Schärfe auf eine andere Entfernung legt, ändert sich sich Bildweite, also die Projektionsweite des Bildes</t>
  </si>
  <si>
    <t>im Kameragehäuse. Je größer die Projektionsweite ist, um geringer ist die Belichtungsintensität, was durch längere</t>
  </si>
  <si>
    <t>Belichtungszeit ausgeglichen werden muss. Wie groß ist der Veränderungsfaktor für die Belichtungszeit?</t>
  </si>
  <si>
    <t>Projektionsabstand 2</t>
  </si>
  <si>
    <t>Bildfläche 1</t>
  </si>
  <si>
    <t>Abstandsänderungsfaktor aäf</t>
  </si>
  <si>
    <t>Bildfläche 2</t>
  </si>
  <si>
    <t>Flächenänderungsfaktor fäf</t>
  </si>
  <si>
    <t>Helligkeitsänderungsfaktor häf</t>
  </si>
  <si>
    <t xml:space="preserve">Ein Projektor erzeugt aus einer Entfernung von 187 cm ein Bild mit </t>
  </si>
  <si>
    <t>einer Breite von 90 cm und einer Höhe von 50 cm.</t>
  </si>
  <si>
    <t>Wie groß ist das Bild bei einer beliebigen anderen Projektionsweite? (312 cm)</t>
  </si>
  <si>
    <t>Wie groß ist die neue Helligkeit des Bildes (in Prozent)?</t>
  </si>
  <si>
    <t>Wie lange müsste man belichten, wenn das Ausgangsbild bei 1/60 Sekunde</t>
  </si>
  <si>
    <t>korrekt belichtet gewesen wäre (immer gleiche Blende)?</t>
  </si>
  <si>
    <t xml:space="preserve">Welche Blendenzahl müsste man einstellen, wenn zuvor Blende16 </t>
  </si>
  <si>
    <t>passte (immer gleiche Belichtungszeit)?</t>
  </si>
  <si>
    <t>Projektionsabstand PA1</t>
  </si>
  <si>
    <t>Projektionsabstand PA2</t>
  </si>
  <si>
    <t>Helligkeit 1</t>
  </si>
  <si>
    <t>Belichtungszeit 1</t>
  </si>
  <si>
    <t>Sekunde</t>
  </si>
  <si>
    <t>Blende</t>
  </si>
  <si>
    <t>Abstand-Änderungsfaktor Aäf</t>
  </si>
  <si>
    <t>Flächen-Änderungsfaktor Fäf</t>
  </si>
  <si>
    <t>Helligkeit-Änderungsfaktor Häf</t>
  </si>
  <si>
    <t>Helligkeit 2</t>
  </si>
  <si>
    <t>Belichtungszeit 2</t>
  </si>
  <si>
    <t>Blende 2</t>
  </si>
  <si>
    <t>Ein Projektor wird von 1,9 m auf 3,7 m Distanz zu einer Leinwand verschoben.</t>
  </si>
  <si>
    <t xml:space="preserve">Wie groß ist das Bild (Breite, Höhe, Fläche), wie hell ist das Bild im Vergleich </t>
  </si>
  <si>
    <t>zum Ausgangsbild, welche Änderung der Belichtungszeit wäre nötig, wenn</t>
  </si>
  <si>
    <t>man das Bild fotografieren wollte? Wählen Sie die Ausgangsbildgröße selbst.</t>
  </si>
  <si>
    <t>oder Bildfläche 2</t>
  </si>
  <si>
    <t>Bildfläche 1 * aäf hoch 2</t>
  </si>
  <si>
    <t>Bildfläche 2 / Bildfläche 1</t>
  </si>
  <si>
    <t xml:space="preserve"> 1 / fäf</t>
  </si>
  <si>
    <t>Bildhelligkeit 2</t>
  </si>
  <si>
    <t>Bildhelligkeit 1 * häf</t>
  </si>
  <si>
    <t>Belichtungsänderungsfaktor bäf</t>
  </si>
  <si>
    <t xml:space="preserve"> 1 / häf  oder  fäf</t>
  </si>
  <si>
    <t>Belichtungszeit 1 * bäf</t>
  </si>
  <si>
    <t>Belichtungszeit 2 als Bruch</t>
  </si>
  <si>
    <t>Sek</t>
  </si>
  <si>
    <t xml:space="preserve">Der Projektionsabstand eines Projektors ist auf  3,6 m verändert worden. </t>
  </si>
  <si>
    <t xml:space="preserve">Die Helligkeit des projizierten  Bildes nimmt dadurch von 100 % auf 40 % ab. </t>
  </si>
  <si>
    <t xml:space="preserve">Das Bild ist nun 2,6 m breit und 1,8 m hoch.  </t>
  </si>
  <si>
    <t>Wie breit und hoch war das Bild ursprünglich, wie groß der Projektionsabstand?</t>
  </si>
  <si>
    <t>Projektionsweite 2</t>
  </si>
  <si>
    <t>Neue Helligkeit / Ursprungshelligkeit</t>
  </si>
  <si>
    <t>Wurzel aus Flächenänderungsfaktor, weil fäf = aäf hoch 2</t>
  </si>
  <si>
    <t>Projektionsweite 1</t>
  </si>
  <si>
    <t>Neue Proj.-weite = Ursprüngliche Proj.-weite mal Abstandsänderungsfaktor</t>
  </si>
  <si>
    <t>aäf = Bildbreitenänderungsfaktor = Bildhöhenänderungsfaktor</t>
  </si>
  <si>
    <t>Bildflläche 2</t>
  </si>
  <si>
    <t>Die Helligkeit ändert sich wie die Fläche, aber umgekehrt proportional</t>
  </si>
  <si>
    <t>Zwei Personen werden fotografiert, wobei eine Person 1,6 Meter hinter der anderen Person steht.</t>
  </si>
  <si>
    <t xml:space="preserve">Der Aufnahmeabstand zur nahen Person ist 2,3 Meter und das Motiv wird mit einem </t>
  </si>
  <si>
    <t>aufgesteckten Blitzgerät beleuchtet.</t>
  </si>
  <si>
    <t>Wie stark ist der Intensitätsunterschied in der Beleuchtung beider Personen?</t>
  </si>
  <si>
    <t>Vergrößerung 1 wurde mit einer Belichtungszeit von 24 Sekunden erstellt,</t>
  </si>
  <si>
    <t>Vergrößerung 2 mit einer Belichtungszeit von 18 Sekunden.</t>
  </si>
  <si>
    <t>Wie groß war der Unterschied in den Projektionsweiten?</t>
  </si>
  <si>
    <t>Welches Bildformat hat Vergrößerung 1, wenn Vergrößerung 2</t>
  </si>
  <si>
    <t>18 mal 24 cm groß ist?</t>
  </si>
  <si>
    <t>Belichtungsänderungsfaktor</t>
  </si>
  <si>
    <t>Erstellen Sie eine Tabelle, die den Zusammenhang zwischen Beleuchtungsabstand</t>
  </si>
  <si>
    <t>und Helligkeit zeigt: Der Projektionsabstand soll mit 1 m Schrittweite zwischen</t>
  </si>
  <si>
    <t>1 m und 16 m verändert werden. Erzeugen Sie ein Diagramm mit diesen Daten.</t>
  </si>
  <si>
    <t>Projektionsabstand, Meter</t>
  </si>
  <si>
    <t>Helligkeit</t>
  </si>
  <si>
    <t>Die Leitzahl gibt die Leistung eines Aufsteck-Blitzgerätes an.</t>
  </si>
  <si>
    <t>Je höher die Leitzahl, umso größer die Lichtabstrahlung.</t>
  </si>
  <si>
    <t>Die Leitzahl ist das Produkt aus Blendenzahl und  Beleuchtungsabstand.</t>
  </si>
  <si>
    <t>Erstellen Sie eine Tabelle für Beleuchtungsabstände in 1 Meter-Schritten und Leitzahl 45</t>
  </si>
  <si>
    <t>Blendenzahl k</t>
  </si>
  <si>
    <t>Leitzahl</t>
  </si>
  <si>
    <t>Leitzahl = Blendenzahl * Beleuchtungsabstand</t>
  </si>
  <si>
    <t>Blendenzahl = Leitzahl / Beleuchtungsabstand</t>
  </si>
  <si>
    <t>Beleuchtungsabstand = Leitzahl / Blendenzahl</t>
  </si>
  <si>
    <t>Empfindlichkeit ISO</t>
  </si>
  <si>
    <t>Blendenreihe</t>
  </si>
  <si>
    <t>Ein Beamer erzeugt aus einer Entfernung von 5 Metern ein Bild</t>
  </si>
  <si>
    <t>mit einer Breite von 3,8 Metern und einem Seitenverhältnis von 16:9.</t>
  </si>
  <si>
    <t>Welche Maße hat das Bild bei einem Projektionsabstand von 6,84 Metern?</t>
  </si>
  <si>
    <t>Welche Helligkeit hat das Bild im Vergleich zur Ursprungshelligeit?</t>
  </si>
  <si>
    <t>Wie lang müsste man beim Fotografieren des projizierten Bildes belichten,</t>
  </si>
  <si>
    <t>wenn das Ursprungsbild bei 1/8 Sekunde Belichtungszeit korrekt belichtet war?</t>
  </si>
  <si>
    <t>Projektionsabstand</t>
  </si>
  <si>
    <t>Seitenverhältnis 16:9</t>
  </si>
  <si>
    <t>Belichtungszeit</t>
  </si>
  <si>
    <t>Abstand-Änderungsfaktor</t>
  </si>
  <si>
    <t>Bildfläche-Änderungsfaktor</t>
  </si>
  <si>
    <t>Bildbreiten/-höhen-Änderungsfaktor</t>
  </si>
  <si>
    <t>Regeln:</t>
  </si>
  <si>
    <t>Bildbreite und -höhe ändern sich wie der Projektionsabstand</t>
  </si>
  <si>
    <t>Die Helligkeit ändert sich mit dem Quadrat des Abstand-Änderungsfaktors</t>
  </si>
  <si>
    <t>Die Belichtung muss mit dem Flächenänderungsfaktor korrigiert werden.</t>
  </si>
  <si>
    <t>Wie weit ist eine reflektierende Wand von einer Schallquelle entfernt,</t>
  </si>
  <si>
    <t>wenn das Echo mit 3,7 Sekunden Verzögerung zu hören ist?</t>
  </si>
  <si>
    <t>Laufzeit des Schalls hin &amp; zurück</t>
  </si>
  <si>
    <t>s</t>
  </si>
  <si>
    <t>Laufzeit Schall hin</t>
  </si>
  <si>
    <t>Entfernung Schallquelle - Wand</t>
  </si>
  <si>
    <t>Welche Wellenlänge hat eine Schallwelle, wenn ein Musiker den</t>
  </si>
  <si>
    <t>Kammerton a erzeugt?</t>
  </si>
  <si>
    <t>Frequenz Kammerton a</t>
  </si>
  <si>
    <t>Probleme:</t>
  </si>
  <si>
    <t>Die automatische Belichtungssteuerung eines Computerblitzgeräts führt nicht in allen Situationen</t>
  </si>
  <si>
    <t>zu optimal belichteten Aufnahmen. Die Automatik könnte auch defekt sein, so dass man gezwungen</t>
  </si>
  <si>
    <t>ist, im manuellen Modus zu arbeiten.</t>
  </si>
  <si>
    <t>a) Welchen Beleuchtungsabstand muss man wählen, wenn man in der Kamera einen Film beliebiger</t>
  </si>
  <si>
    <t>Lichtempfindlichkeit in Verbindung mit einer beliebigen Blende mit einem Blitzgerät verwendet,</t>
  </si>
  <si>
    <t>dessen Leitzahl man kennt?</t>
  </si>
  <si>
    <t>Beispiel:</t>
  </si>
  <si>
    <t>Filmempfindlichkeit:</t>
  </si>
  <si>
    <t>200 ASA</t>
  </si>
  <si>
    <t>Blende:</t>
  </si>
  <si>
    <t>Leitzahl bei 100 ASA:</t>
  </si>
  <si>
    <t>Beleuchtungsabstand:</t>
  </si>
  <si>
    <t>?</t>
  </si>
  <si>
    <t xml:space="preserve">    hier dürfen Werte verändert werden</t>
  </si>
  <si>
    <t>Filmempfindlichkeit in ASA:</t>
  </si>
  <si>
    <t>Leitzahl bei tatsächlicher ASA-Zahl:</t>
  </si>
  <si>
    <t>Beleuchtungsabstand in m:</t>
  </si>
  <si>
    <t>b) Welche Blende muss man einstellen, wenn man in der Kamera einen Film beliebiger</t>
  </si>
  <si>
    <t>Lichtempfindlichkeit in Verbindung mit einem beliebigen Beleuchtungsabstand des Blitzgeräts verwendet,</t>
  </si>
  <si>
    <t>c) Welche Leitzahl besitzt ein Gerät bei einer Filmempfindlichkeit von 100 ASA, wenn man in der Kamera</t>
  </si>
  <si>
    <t>einen Film beliebiger Lichtempfindlichkeit in Verbindung mit einer beliebigen Blende mit einem Blitzgerät</t>
  </si>
  <si>
    <t xml:space="preserve"> verwendet, das einen bekannten Beleuchtungsabstand zum Motiv hat?</t>
  </si>
  <si>
    <t>Erstellen Sie eine Tabelle, in der für eine beliebige Leitzahl jeder Blendenzahl der Blendenreihe</t>
  </si>
  <si>
    <t>von Blendenzahl 1 bis 32 der dazugehörige Beleuchtungsabstand berechnet wird.</t>
  </si>
  <si>
    <t>Leitzahl:</t>
  </si>
  <si>
    <t>in Metern</t>
  </si>
  <si>
    <t>Wie ändert sich die Leitzahl eines Blitzgeräts, wenn die Lichtempfindlichkeit verändert wird?</t>
  </si>
  <si>
    <t>ISO-Wert 1</t>
  </si>
  <si>
    <t>Beleuchtungsabstand in m</t>
  </si>
  <si>
    <t>Leitzahl bei ISO-Wert 1</t>
  </si>
  <si>
    <t>ISO-Wert 2</t>
  </si>
  <si>
    <t>Änderungsfaktor ISO-Wert</t>
  </si>
  <si>
    <t>Änderungsfaktor LZ-Wert</t>
  </si>
  <si>
    <t>Änderungsfaktor LZ-Wert = Wurzel(Änderungsfaktor ISO-Wert)</t>
  </si>
  <si>
    <t>Leitzahl bei ISO-Wert 2</t>
  </si>
  <si>
    <t>Im Fotolabor wurde eine Vergrößerung mit einer Breite von 60 cm und einer</t>
  </si>
  <si>
    <t>Höhe von 50 cm aus einem Projektionsabstand von 1,35 m bei einer</t>
  </si>
  <si>
    <t>Belichtungszeit von 73 Sekunden erstellt.</t>
  </si>
  <si>
    <t>Welche Bildgröße entsteht bei einem Projektionsabstand von 95 cm?</t>
  </si>
  <si>
    <t>Welche Belichtungszeit ist nötig?</t>
  </si>
  <si>
    <t>Abstandsänderungsfaktor, Aäf</t>
  </si>
  <si>
    <t>Aäf in Prozent</t>
  </si>
  <si>
    <t>Pro Cent = Pro Hundert = Hundertstel</t>
  </si>
  <si>
    <t>Flächenänderungsfaktor, Fäf</t>
  </si>
  <si>
    <t>(Abstandsänderungsfaktor)², Aäf²</t>
  </si>
  <si>
    <t>Helligkeitsänderungsfaktor, Häf</t>
  </si>
  <si>
    <t>Belichtungsänderungsfaktor, Bäf</t>
  </si>
  <si>
    <t>Welchen Durchmesser muss die kreisrunde Blendenöffnung eines Objektivs</t>
  </si>
  <si>
    <t>mit einer Brennweite (=Projektionsweite) von 180 mm haben, damit der</t>
  </si>
  <si>
    <t>Aufnahme-Chip mit gleicher Intensität beleuchtet wird, wie durch ein Objektiv</t>
  </si>
  <si>
    <t>Brennweite 1</t>
  </si>
  <si>
    <t>Brennweite 2</t>
  </si>
  <si>
    <t>Blendendurchmesser 1</t>
  </si>
  <si>
    <t>Blendenfläche 1</t>
  </si>
  <si>
    <t>Kreisfläche = pi mal r²</t>
  </si>
  <si>
    <t>Projektionsabstandsänderungsfaktor</t>
  </si>
  <si>
    <t>Proj.-Flächenänderungsfaktor</t>
  </si>
  <si>
    <t>Blendenflächenänderungsfaktor</t>
  </si>
  <si>
    <t>Blendenfläche 2</t>
  </si>
  <si>
    <t>Radius 2</t>
  </si>
  <si>
    <t>Warum ändern sich die Blendenzahlen mit dem Faktor Wurzel(2), also 1,414, wenn</t>
  </si>
  <si>
    <t>sich die Belichtungsintensität verdoppeln bzw. halbieren soll?</t>
  </si>
  <si>
    <t>Es liegt an der Änderung der kreisförmigen Öffnungsfläche der Blende</t>
  </si>
  <si>
    <t>Halbe Kreisfläche = Halbe Lichtintensität</t>
  </si>
  <si>
    <t>Wie muss man den Kreisradius bzw. den Kreisdurchmesser verändern,</t>
  </si>
  <si>
    <t>damit die Kreisfläche doppelt oder halb so groß wie zuvor ist?</t>
  </si>
  <si>
    <t>Kreisfläche berechnen:</t>
  </si>
  <si>
    <t>A = pi() * r^2  umgeformt für r ergibt r = wurzel( A / pi())</t>
  </si>
  <si>
    <t>Durchmesser</t>
  </si>
  <si>
    <t xml:space="preserve">Die Leitzahl eines Blitzgerätes ist 45. Erstellen Sie eine Tabelle, die für die </t>
  </si>
  <si>
    <t>Blendenzahlen von 1 bis 32 die Beleuchtungsabstände errechnet, die zu</t>
  </si>
  <si>
    <t>Wie muss sich der Blenden-Durchmesser ändern, wenn ein Objektiv mit einer anderen</t>
  </si>
  <si>
    <t>Brennweite (=Projektionsweite) verwendet wird und in beiden Fällen die gleiche</t>
  </si>
  <si>
    <t>Lichtintensität auf den Film/den Chip einwirken soll (= korrekte Belichtung)?</t>
  </si>
  <si>
    <t>Flächenänderungsfaktor Fäf</t>
  </si>
  <si>
    <t>Blenden-Radius 1</t>
  </si>
  <si>
    <t>Blenden-Radius 2</t>
  </si>
  <si>
    <t>Radius-Änderungsfaktor</t>
  </si>
  <si>
    <t>Durchmesser-Änderungsfaktor</t>
  </si>
  <si>
    <t>Radius-Änderungsfaktor, der zur Halbierung der Fläche führt ist</t>
  </si>
  <si>
    <t>Radius-Änderungsfaktor, der zur Verdoppelung der Fläche führt ist</t>
  </si>
  <si>
    <t>Kehrwert des Helligkeitsänderungsfaktors. Die Helligkeit ändert sich wie die Fläche, aber umgekehrt proportional.</t>
  </si>
  <si>
    <t>Ein Projektor wird von 2,2 Metern Projektionsabstand auf 5,7 m Distanz geschoben,</t>
  </si>
  <si>
    <t>Abstand 1</t>
  </si>
  <si>
    <t>Abstanddifferenz</t>
  </si>
  <si>
    <t>Abstand 2</t>
  </si>
  <si>
    <t>Die Leitzahl wird immer auf einen bestimmten ISO-Wert bezogen, meist 100 ISO Lichtempfindlichkeit des Films, der Kamera</t>
  </si>
  <si>
    <t>einzustellende Blendenzahl k</t>
  </si>
  <si>
    <t>Beleuchtungsabstand in Meter</t>
  </si>
  <si>
    <t>Was ist zu berücksichtigen, wenn ein anderer ISO-Wert bei der Aufnahme verwendet wird?</t>
  </si>
  <si>
    <t>Wenn der ISO-Wert doppelt so hoch ist, also 200 ISO, kann in der Tabelle oben um 1 Blendenstufe weiter abgeblendet werden:</t>
  </si>
  <si>
    <t>Leitzahl-Änderungsfaktor bei ISO-Änderung</t>
  </si>
  <si>
    <t>Wenn die Empfindlichkeitseinstellung verdoppelt wird, ändert sich die Leitzahl mit dem Faktor Wurzel aus 2. Bei vierfachem ISO-Wert ändert sich die Leitzahl mit dem Faktor Wurzel(2) * Wurzel(2).</t>
  </si>
  <si>
    <t>Erstellen Sie ein Linien-Diagramm, das den Zusammenhang zwischen Blendenzahlen und</t>
  </si>
  <si>
    <t>dazu passenden Beleuchtungsabständen darstellt.</t>
  </si>
  <si>
    <t>2 hoch Stufenzahl = Änderungsfaktor &gt;&gt;&gt; Stufenzahl * log(2) = log(Änderungsfaktor) &gt;&gt;&gt; Stufenzahl = log(Änderungsfaktor) / log(2)</t>
  </si>
  <si>
    <t>Lichtabfall bei Lichtprojektion (Beamer auf Leinwand oder Kameraobjektiv auf Chip) oder punktförmiger Lichtquelle (Abstandsgesetz)</t>
  </si>
  <si>
    <t>Ein Kameraobjektiv projiziert das Bild nicht mit der Brennweite von 50 mm (Basis-Bildweite),</t>
  </si>
  <si>
    <t xml:space="preserve">sondern mit einer Bildweite von 65 mm, weil die Schärfeebene im Motiv von Unendlich auf einen </t>
  </si>
  <si>
    <t>geringeren Abstand eingestellt wurde.</t>
  </si>
  <si>
    <t>Projektionsabstand 1 (Brennweite)</t>
  </si>
  <si>
    <t>Projektionsabstand 2 (Bildweite)</t>
  </si>
  <si>
    <t>immer gleich, also korrekt belichteten Filmen führen.</t>
  </si>
  <si>
    <t>Kreis-Fläche</t>
  </si>
  <si>
    <t>mit einer Brennweite von 50 mm, dessen Blendendurchmesser 2 cm ist?</t>
  </si>
  <si>
    <t>Blendendurchmesser 2</t>
  </si>
  <si>
    <t>Quadrat d. Proj.-Änderungsfaktors:</t>
  </si>
  <si>
    <t>entspricht Belichtungsänderungsfaktor</t>
  </si>
  <si>
    <t>entspricht Flächenänderungsfaktor und</t>
  </si>
  <si>
    <t>Erstellen Sie die folgende Tabelle und füllen Sie die leeren Zellen mit Formeln/Werten</t>
  </si>
  <si>
    <t>Kreisdurchmesser d in mm</t>
  </si>
  <si>
    <t>Brennweite f in mm</t>
  </si>
  <si>
    <t>Öffungsverhältnis, ÖV</t>
  </si>
  <si>
    <t xml:space="preserve">ÖV,      1 zu </t>
  </si>
  <si>
    <t>Radius r in mm</t>
  </si>
  <si>
    <t>Kreisfläche (Pi() * r^2) in mm²</t>
  </si>
  <si>
    <t>relative Helligkeit</t>
  </si>
  <si>
    <t>Kreisdurchmesseränderungsfaktor</t>
  </si>
  <si>
    <t>ÖV,                      1:</t>
  </si>
  <si>
    <t>muss der Blendendurchmesser auf das 1,414213562-fache ( = Wurzel(2) ) vergrößert werden.</t>
  </si>
  <si>
    <t>Welche Brennweite bringt bei feststehendem Blendendurchmesser die doppelte Lichtintensität auf den Film/Chip?</t>
  </si>
  <si>
    <t>Wurzel(2) =  x   mal   x</t>
  </si>
  <si>
    <t>1,414 = x²</t>
  </si>
  <si>
    <t>Wurzel(1,414) = x</t>
  </si>
  <si>
    <r>
      <t xml:space="preserve">Der Faktor für eine ganze Stufe (1,414) muss in drei gleiche Teilfaktoren zerlegt werden: 1,414 = x mal x mal x = </t>
    </r>
    <r>
      <rPr>
        <sz val="14"/>
        <rFont val="Arial"/>
        <family val="2"/>
      </rPr>
      <t>x³</t>
    </r>
  </si>
  <si>
    <t xml:space="preserve">entspricht </t>
  </si>
  <si>
    <t>Wenn der Öffnungsdurchmesser verdoppelt wird, dann vervierfacht sich die Fläche, die Belichtungsintensität ist viermal so groß</t>
  </si>
  <si>
    <t>Wenn die Brennweite verdoppelt wird, dann ist die ausgeleuchtete Fläche viermal so groß, die Belichtungsintensität ist nur 1/4.</t>
  </si>
  <si>
    <t>Wie muss der Öffnungsdurchmesser verändert werden, damit die Belichtungsintensität doppelt so groß ist?</t>
  </si>
  <si>
    <t>Wie muss der Durchmesser, der Radius eines Kreises verändert werden, damit die Fläche doppelt so groß ist?</t>
  </si>
  <si>
    <t>Kreisflächen inmm²</t>
  </si>
  <si>
    <t>F = pi * r²</t>
  </si>
  <si>
    <t>r² = F / pi</t>
  </si>
  <si>
    <t>r = wurzel(F / pi)</t>
  </si>
  <si>
    <t>entspricht Wurzel(2)</t>
  </si>
  <si>
    <t>Der Blendendurchmesser oder -radius müssen mit dem Faktor Wurzel(2) verändert werden, damit die Belichtungs-</t>
  </si>
  <si>
    <t>intensität verdoppelt oder halbiert wird.</t>
  </si>
  <si>
    <t>Die Brennweite oder die Bildweite müssen mit dem Faktor Wurzel(2) verändert werden, damit die Belichtungs-</t>
  </si>
  <si>
    <t>Blendendurchmesser d</t>
  </si>
  <si>
    <t>Brennweite oder Bildweite f oder a'</t>
  </si>
  <si>
    <t>Blendenzahl = Kehrwert des ÖV</t>
  </si>
  <si>
    <t>Welchen Blendendurchmesser muss der Objektivhersteller mechanisch einstellen, wenn sein Objektiv mit einer Brennweite von 240 mm einen Lichtdurchgang haben soll, der Blende 5,6 entspricht?</t>
  </si>
  <si>
    <t>wirksames Öffnungsverhältnis = Öffnungsdurchmesser / Bildweite (Die Bildweite ist abhängig von der Gegenstandsweite!)</t>
  </si>
  <si>
    <t>Öffnungsverhältnis ÖV = Öffnungsdurchmesser des Objektivs / Brennweite</t>
  </si>
  <si>
    <t>Öffnungsverhältnis ÖV = d / f oder d / a'</t>
  </si>
  <si>
    <t>Blendenzahl k = 1 / ÖV</t>
  </si>
  <si>
    <t>Brennweite f</t>
  </si>
  <si>
    <t>Öffnungsverhältnis ÖV</t>
  </si>
  <si>
    <t xml:space="preserve">  </t>
  </si>
  <si>
    <t>Blendendurchmesser</t>
  </si>
  <si>
    <t>Öffnungsverhältnis ÖV 1</t>
  </si>
  <si>
    <t>Blendenzahl k1</t>
  </si>
  <si>
    <t>Öffnungsverhältnis ÖV 2</t>
  </si>
  <si>
    <t>Blendenzahl k2</t>
  </si>
  <si>
    <t>ÖV1, ÖV2, k1 und k2 werden nur zur Kontrolle berechnet.</t>
  </si>
  <si>
    <t>Die Helligkeit ändert sich mit der Wurzel aus dem Helligkeitsänderungsfaktor</t>
  </si>
  <si>
    <t>Wenn die Belichtungsintensität auf das Doppelte erhöht werden soll ( 1 Belichtungsstufe = 1 Blenden- oder Verschlusszeitenstufe),</t>
  </si>
  <si>
    <t>Um die Blendenzahl für ein HALBE Belichtungsstufe zu erhalten, muss man den Faktor, der einer ganzen Stufe entspricht (1,414),</t>
  </si>
  <si>
    <t>in zwei gleiche Teilfaktoren zerlegen:  1,414  = x * x = 1,1892 * 1,1892</t>
  </si>
  <si>
    <t>Welchen Wert hat die halbe Blendenstufe zwischen 4 und 5,6?</t>
  </si>
  <si>
    <t>Die Blendenreihe mit halben Stufen ist:</t>
  </si>
  <si>
    <t>In der Praxis findet man auf den Objektiven nur gerundete Werte, die nicht dem exakten Wert entsprechen!</t>
  </si>
  <si>
    <t>Welche Blendenzahl haben Drittel-Blendenstufen zwischen 4 und 5,6?</t>
  </si>
  <si>
    <t>Um den Teilfaktor zu ermitteln, muss man rechnen: Dritte Wurzel(Faktor), was der Formel Faktor hoch 1/3 entspricht. Damit kann man in Excel sehr einfach rechnen.</t>
  </si>
  <si>
    <t>Regel:     2. Wurzel aus x = x ^(1/2) und 3. Wurzel aus x = x ^(1/3) und 4. Wurzel aus x = x ^(1/4) usw.</t>
  </si>
  <si>
    <t>Wie ändert sich die Blendenzahl, wenn die Belichtungsintensität fortlaufend um 1/2 oder 1/3 Belichtungsstufe verändert werden soll?</t>
  </si>
  <si>
    <t>Faktor der Blendenzahländerung für 1 Belichtungsstufe = wurzel(2) = 1,414</t>
  </si>
  <si>
    <t>Start-Blendenzahl</t>
  </si>
  <si>
    <r>
      <t xml:space="preserve">Blendenzahl-Änderungsfaktor </t>
    </r>
    <r>
      <rPr>
        <b/>
        <sz val="10"/>
        <rFont val="Arial"/>
        <family val="2"/>
      </rPr>
      <t>ganze</t>
    </r>
    <r>
      <rPr>
        <sz val="10"/>
        <rFont val="Arial"/>
        <family val="2"/>
      </rPr>
      <t xml:space="preserve"> Stufe:</t>
    </r>
  </si>
  <si>
    <r>
      <t xml:space="preserve">Blendenzahl-Änderungsfaktor </t>
    </r>
    <r>
      <rPr>
        <b/>
        <sz val="10"/>
        <rFont val="Arial"/>
        <family val="2"/>
      </rPr>
      <t>halbe</t>
    </r>
    <r>
      <rPr>
        <sz val="10"/>
        <rFont val="Arial"/>
        <family val="2"/>
      </rPr>
      <t xml:space="preserve"> Stufe:</t>
    </r>
  </si>
  <si>
    <r>
      <t xml:space="preserve">Blendenzahl-Änderungsfaktor </t>
    </r>
    <r>
      <rPr>
        <b/>
        <sz val="10"/>
        <rFont val="Arial"/>
        <family val="2"/>
      </rPr>
      <t>Drittel</t>
    </r>
    <r>
      <rPr>
        <sz val="10"/>
        <rFont val="Arial"/>
        <family val="2"/>
      </rPr>
      <t>-Stufe:</t>
    </r>
  </si>
  <si>
    <t>Beispiel für halbe Stufe: Wenn die Blendenzahl von 1 auf 1,19 verändert wird, ist die Lichtintensität nur 70,71%, ein weiteres Schließen auf Blende 1,41 reduziert die Lichtintensität auf 50%</t>
  </si>
  <si>
    <t>Wie ändert sich die Helligkeit auf dem Film, wenn die Blende fortlaufend um 1/2 oder 1/3 Belichtungsstufe verändert wird?</t>
  </si>
  <si>
    <t>Helligkeitsreihe</t>
  </si>
  <si>
    <t>Faktor der Helligkeitsänderung für 1 Belichtungsstufe = 2</t>
  </si>
  <si>
    <t>Start-Helligkeit</t>
  </si>
  <si>
    <r>
      <t xml:space="preserve">Helligkeitsänderungsfaktor </t>
    </r>
    <r>
      <rPr>
        <b/>
        <sz val="10"/>
        <rFont val="Arial"/>
        <family val="2"/>
      </rPr>
      <t>ganze</t>
    </r>
    <r>
      <rPr>
        <sz val="10"/>
        <rFont val="Arial"/>
        <family val="2"/>
      </rPr>
      <t xml:space="preserve"> Stufe:</t>
    </r>
  </si>
  <si>
    <r>
      <t xml:space="preserve">Helligkeitsänderungsfaktor </t>
    </r>
    <r>
      <rPr>
        <b/>
        <sz val="10"/>
        <rFont val="Arial"/>
        <family val="2"/>
      </rPr>
      <t>halbe</t>
    </r>
    <r>
      <rPr>
        <sz val="10"/>
        <rFont val="Arial"/>
        <family val="2"/>
      </rPr>
      <t xml:space="preserve"> Stufe:</t>
    </r>
  </si>
  <si>
    <r>
      <t xml:space="preserve">Helligkeitsänderungsfaktor </t>
    </r>
    <r>
      <rPr>
        <b/>
        <sz val="10"/>
        <rFont val="Arial"/>
        <family val="2"/>
      </rPr>
      <t>Drittel-</t>
    </r>
    <r>
      <rPr>
        <sz val="10"/>
        <rFont val="Arial"/>
        <family val="2"/>
      </rPr>
      <t>Stufe:</t>
    </r>
  </si>
  <si>
    <t>Beispiel für halbe Stufe: Wenn die Helligkeit von 100% (1) auf 71% (0,71) verändert wird, entspricht das einer halben Belichtungsstufe, ein weiteres Schließen um eine halbe Stufe</t>
  </si>
  <si>
    <t>reduziert die Lichtintensität auf 50%</t>
  </si>
  <si>
    <t>Wie muss der Beleuchtungsabstand eines Handblitzgerätes verändert werden, wenn die Beleuchtungsintensität fortlaufend um 1/2 oder 1/3 Belichtungsstufe</t>
  </si>
  <si>
    <t>verändert werden soll?</t>
  </si>
  <si>
    <t>Beleuchtungsabstandsreihe</t>
  </si>
  <si>
    <t>Faktor der Änderung des Beleuchtungsabstands für 1 Belichtungsstufe = wurzel(2) = 1,414</t>
  </si>
  <si>
    <t>Start-Abstand in m</t>
  </si>
  <si>
    <r>
      <t xml:space="preserve">Abstandsänderungsfaktor </t>
    </r>
    <r>
      <rPr>
        <b/>
        <sz val="10"/>
        <rFont val="Arial"/>
        <family val="2"/>
      </rPr>
      <t>ganze</t>
    </r>
    <r>
      <rPr>
        <sz val="10"/>
        <rFont val="Arial"/>
        <family val="2"/>
      </rPr>
      <t xml:space="preserve"> Stufe:</t>
    </r>
  </si>
  <si>
    <r>
      <t xml:space="preserve">Abstandsänderungsfaktor </t>
    </r>
    <r>
      <rPr>
        <b/>
        <sz val="10"/>
        <rFont val="Arial"/>
        <family val="2"/>
      </rPr>
      <t>halbe</t>
    </r>
    <r>
      <rPr>
        <sz val="10"/>
        <rFont val="Arial"/>
        <family val="2"/>
      </rPr>
      <t xml:space="preserve"> Stufe:</t>
    </r>
  </si>
  <si>
    <r>
      <t xml:space="preserve">Abstandsänderungsfaktor </t>
    </r>
    <r>
      <rPr>
        <b/>
        <sz val="10"/>
        <rFont val="Arial"/>
        <family val="2"/>
      </rPr>
      <t>Drittel-</t>
    </r>
    <r>
      <rPr>
        <sz val="10"/>
        <rFont val="Arial"/>
        <family val="2"/>
      </rPr>
      <t>Stufe:</t>
    </r>
  </si>
  <si>
    <t xml:space="preserve">Beispiel: Wenn der Beleuchtungsabstand auf 1,19 m vergrößert wird, ist die Lichtintensität nur 70,71%, würde eine Unterbelichtung um eine halbe Belichtungsstufe erfolgen, </t>
  </si>
  <si>
    <t>ein weiteres Vergrößern auf 1,41 m reduziert die Lichtintensität auf 50%, was einer Unterbelichtung um 1 Belichtungsstufe entspricht</t>
  </si>
  <si>
    <t>Wie muss die Verschlusszeit verändert werden, wenn fortlaufend eine 1/2 oder 1/3 Belichtungsstufe kürzer belichtet werden soll?</t>
  </si>
  <si>
    <t>Belichtungszeitenreihe</t>
  </si>
  <si>
    <t>Faktor der Belichtungszeitänderung für 1 Belichtungsstufe = 2</t>
  </si>
  <si>
    <t>Start-Zeit in Sekunden</t>
  </si>
  <si>
    <r>
      <t xml:space="preserve">Belichtungszeitänderungsfaktor </t>
    </r>
    <r>
      <rPr>
        <b/>
        <sz val="10"/>
        <rFont val="Arial"/>
        <family val="2"/>
      </rPr>
      <t>ganze</t>
    </r>
    <r>
      <rPr>
        <sz val="10"/>
        <rFont val="Arial"/>
        <family val="2"/>
      </rPr>
      <t xml:space="preserve"> Stufe:</t>
    </r>
  </si>
  <si>
    <r>
      <t xml:space="preserve">Belichtungszeitänderungsfaktor </t>
    </r>
    <r>
      <rPr>
        <b/>
        <sz val="10"/>
        <rFont val="Arial"/>
        <family val="2"/>
      </rPr>
      <t>halbe</t>
    </r>
    <r>
      <rPr>
        <sz val="10"/>
        <rFont val="Arial"/>
        <family val="2"/>
      </rPr>
      <t xml:space="preserve"> Stufe:</t>
    </r>
  </si>
  <si>
    <r>
      <t xml:space="preserve">Belichtungszeitänderungsfaktor </t>
    </r>
    <r>
      <rPr>
        <b/>
        <sz val="10"/>
        <rFont val="Arial"/>
        <family val="2"/>
      </rPr>
      <t>Drittel-</t>
    </r>
    <r>
      <rPr>
        <sz val="10"/>
        <rFont val="Arial"/>
        <family val="2"/>
      </rPr>
      <t>Stufe:</t>
    </r>
  </si>
  <si>
    <t xml:space="preserve">Beispiel: Wenn die Verschlusszeit von 1 Sekunde auf 0,707 Sekunden verkürzt wird, ist die Lichtintensität nur 70,71%, ein weiteres Verkürzen auf 0,5 Sekunden reduziert </t>
  </si>
  <si>
    <t>die Lichtintensität auf 50%</t>
  </si>
  <si>
    <t>Stufenzahl</t>
  </si>
  <si>
    <t>Blendenzahl-Änderungsfaktor = Wurzel(1/Häf) = (1/Häf) hoch 0,5</t>
  </si>
  <si>
    <t xml:space="preserve">  = 1/Wurzel(Häf)</t>
  </si>
  <si>
    <t>Blendenzahl-Änderungsfaktor = Wurzel(2 hoch Stufenzahl)</t>
  </si>
  <si>
    <t>Blendenzahl-Änderungsfaktor = 2 hoch (Stufenzahl/2)</t>
  </si>
  <si>
    <t>Helligkeitsänderung in ganzen Stufen (Faktor 2):</t>
  </si>
  <si>
    <t>Erstellen Sie ein Linien-Diagramm, das den Zusammenhang zwischen Beleuchtungsintensität und</t>
  </si>
  <si>
    <t>dazu passendem Beleuchtungsabstand darstellt.</t>
  </si>
  <si>
    <t>Beleuchtungsintensität:</t>
  </si>
  <si>
    <t>Faktor 1/3-Stufe</t>
  </si>
  <si>
    <t>Wenn der Abstand vergrößert wird, verringert sich die Intensität</t>
  </si>
  <si>
    <t>Faktor 1/2-Stufe</t>
  </si>
  <si>
    <t>1/3-Stufen</t>
  </si>
  <si>
    <t>Kreis-Fläche:</t>
  </si>
  <si>
    <t>Radius:</t>
  </si>
  <si>
    <t>Durchmesser:</t>
  </si>
  <si>
    <t>Brennweite:</t>
  </si>
  <si>
    <t>Blendenzahl:</t>
  </si>
  <si>
    <t>1/2-Stufen</t>
  </si>
  <si>
    <t>Faktor hoch 1/3</t>
  </si>
  <si>
    <t>Ausgangsfaktor für Blendenzahl-Änderung = Wurzel(2) = 1,414, entsprechend 1 Stufe</t>
  </si>
  <si>
    <t>Ausgangsfaktor für Flächen-Änderung = 2, entsprechend 1 Stufe</t>
  </si>
  <si>
    <t>Kreisfläche = pi() * r^2;  r = wurzel(Kreisfläche / pi())</t>
  </si>
  <si>
    <t>Veränderung der Blende in  Drittel-Stufen</t>
  </si>
  <si>
    <t>Veränderung der Blende in  halben Stufen</t>
  </si>
  <si>
    <t>Faktor hoch 1/2</t>
  </si>
  <si>
    <t>entspricht 1/1,4142</t>
  </si>
  <si>
    <t>entspricht 1/0,7071</t>
  </si>
  <si>
    <t>Formeln:</t>
  </si>
  <si>
    <t>2 hoch Stufenzahl = Belichtungskorrekturfaktor</t>
  </si>
  <si>
    <t>2³ = 8</t>
  </si>
  <si>
    <t>Stufenzahl = log(Belichtungskorrekturfaktor) / log(2)</t>
  </si>
  <si>
    <t>Beide Seiten der Gleichung logarithmieren</t>
  </si>
  <si>
    <r>
      <t>log (2³)  = log (8</t>
    </r>
    <r>
      <rPr>
        <vertAlign val="superscript"/>
        <sz val="14"/>
        <rFont val="Arial"/>
        <family val="2"/>
      </rPr>
      <t>1</t>
    </r>
    <r>
      <rPr>
        <sz val="14"/>
        <rFont val="Arial"/>
        <family val="2"/>
      </rPr>
      <t>)</t>
    </r>
  </si>
  <si>
    <t>3 mal log (2) = 1 mal log (8)</t>
  </si>
  <si>
    <t>x hoch y  = a</t>
  </si>
  <si>
    <t>y mal log (x) = log (a)</t>
  </si>
  <si>
    <t>y = log (a) / log (x)</t>
  </si>
  <si>
    <t>Logarithmus</t>
  </si>
  <si>
    <t>Zahl</t>
  </si>
  <si>
    <t>Potenzschreibweise</t>
  </si>
  <si>
    <t>log10()</t>
  </si>
  <si>
    <t>Zehnerpotenz</t>
  </si>
  <si>
    <t>10^0</t>
  </si>
  <si>
    <t>10^1</t>
  </si>
  <si>
    <t>10^2</t>
  </si>
  <si>
    <t>10^3</t>
  </si>
  <si>
    <t>10^4</t>
  </si>
  <si>
    <t>10^?</t>
  </si>
  <si>
    <t>10^2,36</t>
  </si>
  <si>
    <t>10^3,12</t>
  </si>
  <si>
    <t>Wie kann man einen Korrekturfaktor in Belichtungsstufen umrechnen?</t>
  </si>
  <si>
    <t>Zur Erinnerung:</t>
  </si>
  <si>
    <t>Wenn Logarithmus bekannt ist, ergibt sich der Wert aus 10 hoch Logarithmus</t>
  </si>
  <si>
    <t>Excel errechnet den Logarithmus über die Funktion =log(Zahl)</t>
  </si>
  <si>
    <t>Wenn sich der Zahlenwert verdoppelt, erhöht sich der logarithmische Wert immer um 0,3.</t>
  </si>
  <si>
    <t xml:space="preserve">Das ist der Grund, warum der DIN-Wert bei Angabe der Filmempfindlichkeit um 3 DIN zunahm, </t>
  </si>
  <si>
    <t>wenn sich die Lichtempfindlichkeit verdoppelt hat (10-facher log-Wert).</t>
  </si>
  <si>
    <t>Die Belichtungszeit müsste man einfach mit diesem Faktor multiplizieren. Aber</t>
  </si>
  <si>
    <t>wieviele Blendenstufen müsste man öffnen?</t>
  </si>
  <si>
    <t>Belichtungskorrekturfaktor</t>
  </si>
  <si>
    <t>Lichtempfindlichkeit ISO</t>
  </si>
  <si>
    <t>Blende k</t>
  </si>
  <si>
    <t>Verschlusszeit t</t>
  </si>
  <si>
    <t>korrigierte Blende k</t>
  </si>
  <si>
    <t>korrigierte Lichtempfindlichkeit ISO</t>
  </si>
  <si>
    <t>korrigierte Verschlusszeit t</t>
  </si>
  <si>
    <t>Wie in eine neue Verschlusszeit, Blendenzahl, ISO-Zahl?</t>
  </si>
  <si>
    <t xml:space="preserve"> = log (Korrekturfaktor) / log (2)</t>
  </si>
  <si>
    <t xml:space="preserve"> = Verschlusszeit 1 * Korrekturfaktor</t>
  </si>
  <si>
    <t xml:space="preserve"> = Blende / WURZEL(Korrekturfaktor)</t>
  </si>
  <si>
    <t xml:space="preserve"> = Lichtempfindlichkeit * Korrekturfaktor</t>
  </si>
  <si>
    <t>Bei der Verwendung eines Filters wird z. B. der Belichtungskorrekturfaktor 3,5 angegeben.</t>
  </si>
  <si>
    <t>Belichtungsstufen (Faktor 2 bzw. 0,5)</t>
  </si>
  <si>
    <t>Belichtungskorrekturfaktor = 2 hoch Stufenzahl</t>
  </si>
  <si>
    <t>Blendenzahländerungsfaktor = 1 / Wurzel(Belichtungskorrekturfaktor)</t>
  </si>
  <si>
    <t>Blendenzahländerungsfaktor = 1 / Wurzel(2^Stufenzahländerung)</t>
  </si>
  <si>
    <t>Zur Berechnung der Anzahl Belichtungsstufen:</t>
  </si>
  <si>
    <t>Wieviel Prozent des Lichtes muss die Ecke des Chips erreichen, damit der Lichtverlust einer Drittel-Helligkeitsstufe entspricht?</t>
  </si>
  <si>
    <t>Wieviel Prozent des Lichtes muss die Ecke des Chips erreichen, damit der Lichtverlust einer halben Helligkeitsstufe entspricht?</t>
  </si>
  <si>
    <t>Lösung: Lichtintensität 2 = Lichtintensität 1   /  2^(1/2)  =  100 % / 2^(1/2)  = 0,7071 =  71 %</t>
  </si>
  <si>
    <t>Lösung: Lichtintensität 2 = Lichtintensität 1   /  2^(1/3)  =  100 % / 2^(1/3)  = 0,7937  = 79 %</t>
  </si>
  <si>
    <t>Wieviel Prozent des Lichtes muss die Ecke des Chips erreichen, damit der Lichtverlust einer ganzen Helligkeitsstufe entspricht?</t>
  </si>
  <si>
    <t>Lösung: Lichtintensität 2 = Lichtintensität 1   /  2^(1/1)  =  100 % / 2^(1/1)  = 0,5  =  50 %</t>
  </si>
  <si>
    <t>Lichtintensität 1</t>
  </si>
  <si>
    <t>Lichtverlust in Helligkeitsstufen</t>
  </si>
  <si>
    <t>Faktor für 1 Helligkeitsstufe</t>
  </si>
  <si>
    <t>Halbe Helligkeitsstufe in Prozent</t>
  </si>
  <si>
    <t>Ganze Helligkeitsstufe in Prozent</t>
  </si>
  <si>
    <t>Lichtintensität 2</t>
  </si>
  <si>
    <t>oder weniger flexibel:          Drittel-Helligkeitsstufe in Prozent</t>
  </si>
  <si>
    <t>Entwickeln Sie ein Programm, das für beliebige Blenden- und Verschlusszeit-Vorgaben</t>
  </si>
  <si>
    <t xml:space="preserve">auf der Basis eines Belichtungskorrekturfaktors die neue Verschlusszeit bzw. die </t>
  </si>
  <si>
    <t>neue Blendenzahl  und die Veränderung in Belichtungsstufen berechnet.</t>
  </si>
  <si>
    <t>Verschlusszeit</t>
  </si>
  <si>
    <t>Belichtungsstufen</t>
  </si>
  <si>
    <t>LOG10(B35)/LOG10(2)</t>
  </si>
  <si>
    <t>neue Verschlusszeit</t>
  </si>
  <si>
    <t>B33*B35</t>
  </si>
  <si>
    <t>neue Blende</t>
  </si>
  <si>
    <t>B34*1/WURZEL(B35)</t>
  </si>
  <si>
    <t>Aufgabe</t>
  </si>
  <si>
    <t>Das Objektiv eines Vergrößerungsgerätes wirft ein Bild auf das Fotopapier aus einer Höhe von 78 cm.</t>
  </si>
  <si>
    <t>a) Wie muss die ursprüngliche Belichtungszeit von 14 Sekunden verändert werden, wenn das</t>
  </si>
  <si>
    <t>Vergrößerungsgerät um 52 cm nach oben verschoben wird und in beiden Fällen korrekt belichtete</t>
  </si>
  <si>
    <t>Vergrößerungen entstehen sollen?</t>
  </si>
  <si>
    <t>b) Welche Blende müsste bei gleichbleibender Belichtungszeit eingestellt werden, wenn die</t>
  </si>
  <si>
    <t>ursprüngliche Blende 22 war?</t>
  </si>
  <si>
    <t>Alte Höhe:</t>
  </si>
  <si>
    <t>Belichtungskorrekturfaktor = 2^Stufenzahl</t>
  </si>
  <si>
    <t>Zuwachs:</t>
  </si>
  <si>
    <t>Alte Belichtungszeit:</t>
  </si>
  <si>
    <t>Blendenzahländerungsfaktor = 1 / Wurzel(2)^Stufenzahländerung</t>
  </si>
  <si>
    <t>Neue Höhe:</t>
  </si>
  <si>
    <t>Blendenzahländerungsfaktor = 1 / 2^(Veränderung_in_Bel._stufen/2)</t>
  </si>
  <si>
    <t>Aäf:</t>
  </si>
  <si>
    <t>Blendenzahländerungsfaktor = 1 / Neue_Höhe/Alte_Höhe</t>
  </si>
  <si>
    <t>Faktor Belichtung:</t>
  </si>
  <si>
    <t>Blendenzahländerungsfaktor = 1 / Aäf</t>
  </si>
  <si>
    <t>Neue Belichtungszeit:</t>
  </si>
  <si>
    <t>Veränderung in Bel.-stufen</t>
  </si>
  <si>
    <t>Neue Blendenzahl:</t>
  </si>
  <si>
    <t>Ein Handblitzgerät wird mit einem Beleuchtungsabstand von 3 Metern eingesetzt.</t>
  </si>
  <si>
    <t>a) Auf welche Blendenzahl muss die eingestellte Blende 16 verändert werden, wenn</t>
  </si>
  <si>
    <t>das Blitzlicht aus 4,35 Metern eingesetzt wird?</t>
  </si>
  <si>
    <t>b) Um wieviele Belichtungsstufen muss korrigiert werden?</t>
  </si>
  <si>
    <t xml:space="preserve">Mit einem Objektiv, das eine Brennweite von 80 mm besitzt, wird eine Nahaufnahme erstellt, </t>
  </si>
  <si>
    <t>die einen Auszug von 200 mm erfordert. Die Lichtmessung hat Blende 16 bei einer 1/30 Sekunde ergeben.</t>
  </si>
  <si>
    <t>a) Wie lautet die korrigierte Belichtungszeit (bei gleichbleibender Blende)?</t>
  </si>
  <si>
    <t>b) Wie viele Blendenstufen muss korrigiert werden?</t>
  </si>
  <si>
    <t>c) Mit welcher korrigierten Blende muss fotografiert werden?</t>
  </si>
  <si>
    <t>Brennweite</t>
  </si>
  <si>
    <t>Bildweite</t>
  </si>
  <si>
    <t>Blende 1</t>
  </si>
  <si>
    <t>Bel.-zeit 1</t>
  </si>
  <si>
    <t>Bel.-korr.-faktor</t>
  </si>
  <si>
    <t>Abstandsänderungsfaktor hoch 2</t>
  </si>
  <si>
    <t>log Belichtungskorrekturfaktor / log 2</t>
  </si>
  <si>
    <t>Blendenzahl-Korr.-faktor</t>
  </si>
  <si>
    <t>Wurzel Belichtungskorrekturfaktor = Abstandsänderungsfaktor</t>
  </si>
  <si>
    <t>Bel.-zeit 2</t>
  </si>
  <si>
    <t>Erläuterungen:</t>
  </si>
  <si>
    <t>2 hoch Stufenzahl = Belichtungskorrekturfaktor  Beispiel:  2 hoch 3 = 8</t>
  </si>
  <si>
    <t>Stufenzahl * log(2)  = log(Belichtungskorrekturfaktor)</t>
  </si>
  <si>
    <t>in Stufen</t>
  </si>
  <si>
    <t>Stufenzahl =log(Belichtungskorrekturfaktor) / log(2)</t>
  </si>
  <si>
    <t>Wurzel(Belicht.-korrekturfaktor)</t>
  </si>
  <si>
    <t>Ausgangsblende :</t>
  </si>
  <si>
    <t>Neue Blendenzahl = alte Blendenzahl * Wurzel(Belicht.-korrekturfaktor)</t>
  </si>
  <si>
    <t xml:space="preserve">entspricht       8 </t>
  </si>
  <si>
    <t>Blendenzahl 1</t>
  </si>
  <si>
    <t>Blendenzahl 2</t>
  </si>
  <si>
    <t>berechnet mit der Leitzahl</t>
  </si>
  <si>
    <t>berechnet mit dem Abstandsänderungfaktor</t>
  </si>
  <si>
    <t>Welche Veränderung muss man bei der Wahl von Lichtempfindlichkeit, Blende oder Verschlusszeit</t>
  </si>
  <si>
    <t>vornehmen, wenn zwei der Ausgangswerte verändert wurden?</t>
  </si>
  <si>
    <t>Ausgangswerte, die zu korrekter Belichtung führen:</t>
  </si>
  <si>
    <t>Lichtempfindlichkeit in ISO</t>
  </si>
  <si>
    <t>Verschlusszeit t als Kehrwert</t>
  </si>
  <si>
    <t>Lösung</t>
  </si>
  <si>
    <t>Variation ISO und k</t>
  </si>
  <si>
    <t>Variation ISO und t</t>
  </si>
  <si>
    <t>Variation k und t</t>
  </si>
  <si>
    <t>Listenindex:</t>
  </si>
  <si>
    <t>Listenindex</t>
  </si>
  <si>
    <t>Änderungsfaktoren</t>
  </si>
  <si>
    <t>Änderung in Belichtungsstufen</t>
  </si>
  <si>
    <t>Es gilt:</t>
  </si>
  <si>
    <t>Korrekturfaktor = 2 hoch Stufenzahl</t>
  </si>
  <si>
    <t>Logarithmieren:</t>
  </si>
  <si>
    <t>Stufenzahl * lg 2 = lg Korrekturfaktor</t>
  </si>
  <si>
    <t>umgestellt:</t>
  </si>
  <si>
    <t>Stufenzahl = lg Korrekturfaktor / lg 2</t>
  </si>
  <si>
    <t>also in den trigonometrischen Funktionswert (z. B. sin).</t>
  </si>
  <si>
    <t>Und umgekehrt:</t>
  </si>
  <si>
    <t>Funktionswert (z. B. Sinus) muss zunächst ins Bogenmaß (Funktion arcsin()),</t>
  </si>
  <si>
    <t>dann in Grad  (grad) umgerechnet werden (tan-arctan, cos-arccos).</t>
  </si>
  <si>
    <t>Winkel in Grad</t>
  </si>
  <si>
    <t xml:space="preserve"> =BOGENMASS(C11)</t>
  </si>
  <si>
    <t>Winkel im Bogenmaß</t>
  </si>
  <si>
    <t xml:space="preserve"> =SIN(C13)</t>
  </si>
  <si>
    <t>Sinus des Winkels</t>
  </si>
  <si>
    <t>Kurzform: =sin(bogenmass(winkelwert))</t>
  </si>
  <si>
    <t xml:space="preserve"> =ARCSIN(C16)</t>
  </si>
  <si>
    <t xml:space="preserve"> =GRAD(C19)</t>
  </si>
  <si>
    <t>Kurzform: =grad(arcsin(sinuswert))</t>
  </si>
  <si>
    <t>Umgang mit trigonometrischen Funktionen in Excel</t>
  </si>
  <si>
    <t>Ermittlung</t>
  </si>
  <si>
    <t>des Sinus</t>
  </si>
  <si>
    <t>des Winkels</t>
  </si>
  <si>
    <t>des Tangens</t>
  </si>
  <si>
    <t>Winkel in Grad:</t>
  </si>
  <si>
    <t>Sinuswert:</t>
  </si>
  <si>
    <t>Tangenswert:</t>
  </si>
  <si>
    <t>Winkelberechnung mit Streckenverhältnissen im rechtwinkligen Dreieck - Trigonometrie</t>
  </si>
  <si>
    <t>Wenn man die Länge zweier Seiten im rechtwinkligen Dreieck festlegt, legt man auch alle Winkel fest.</t>
  </si>
  <si>
    <t>Wenn man eine der beiden Seiten verändert, verändern sich die Längenverhältnisse und damit die beiden variablen Winkel.</t>
  </si>
  <si>
    <t>Ein rechtwinkliges Dreieck entsteht, wenn man ein Rechteck oder Quadrat diagonal durchschneidet.</t>
  </si>
  <si>
    <t>In diese Zellen dürfen andere Zahlen eingegeben werden</t>
  </si>
  <si>
    <t>Rechte Seite = Gegenkathete b</t>
  </si>
  <si>
    <t>Pythagoras-Formel: c² = a² + b² ergibt c = Wurzel (a² + b²)</t>
  </si>
  <si>
    <t>Seite unten = Ankathete a</t>
  </si>
  <si>
    <t>Diagonale c</t>
  </si>
  <si>
    <t>Winkel 1</t>
  </si>
  <si>
    <t>Grad</t>
  </si>
  <si>
    <t>Winkel 2 mit Tangensfunktion ermittelt</t>
  </si>
  <si>
    <t>Winkel 3 mit Tangensfunktion ermittelt</t>
  </si>
  <si>
    <t>Winkelsumme im rechtwinkl. Dreieck</t>
  </si>
  <si>
    <t>Wenn man diese beiden Seiten nutzt, arbeitet man mit der Tangens-Funktion</t>
  </si>
  <si>
    <t>Winkel 2 mit Sinusfunktion ermittelt</t>
  </si>
  <si>
    <t>Winkel 3 mit Sinusfunktion ermittelt</t>
  </si>
  <si>
    <t>Wenn man diese beiden Seiten nutzt, arbeitet man mit der Sinus-Funktion</t>
  </si>
  <si>
    <t>Winkel 2 mit Cosinusfunktion ermittelt</t>
  </si>
  <si>
    <t>Winkel 3 mit Cosinusfunktion ermittelt</t>
  </si>
  <si>
    <t>Wenn man diese beiden Seiten nutzt, arbeitet man mit der Cosinus-Funktion</t>
  </si>
  <si>
    <t>Umrechnung:</t>
  </si>
  <si>
    <t>Daten für rechtwinkliges Dreieck:</t>
  </si>
  <si>
    <t>Hypothenuse</t>
  </si>
  <si>
    <t>H</t>
  </si>
  <si>
    <t>Ankathete</t>
  </si>
  <si>
    <t>A</t>
  </si>
  <si>
    <t>Gegenkathete</t>
  </si>
  <si>
    <t>G</t>
  </si>
  <si>
    <t>Sinuswert des Winkels</t>
  </si>
  <si>
    <t>sin(alpha) = G/H</t>
  </si>
  <si>
    <t xml:space="preserve">Pythagoras: </t>
  </si>
  <si>
    <t>Bogenmaß arcsin()</t>
  </si>
  <si>
    <t>Quadrat über der Hypothenuse = Quadrat über der Ankathete plus Quadrat über der Gegenkathete</t>
  </si>
  <si>
    <t>Winkel</t>
  </si>
  <si>
    <t>c² = a² + b²</t>
  </si>
  <si>
    <t>c = wurzel(a² + b²)</t>
  </si>
  <si>
    <t>Cosinuswert des Winkels</t>
  </si>
  <si>
    <t>cos(alpha) = A/H</t>
  </si>
  <si>
    <t>Bogenmaß arccos()</t>
  </si>
  <si>
    <t>Diese Zahlen beschreiben das gleiche Dreieck,</t>
  </si>
  <si>
    <t>Cosinuswert:</t>
  </si>
  <si>
    <t>den gleichen Winkel.</t>
  </si>
  <si>
    <t>30,96 Grad</t>
  </si>
  <si>
    <t>Tangenswert des Winkels</t>
  </si>
  <si>
    <t>tan(alpha) = G/A</t>
  </si>
  <si>
    <t>Bogenmaß arctan()</t>
  </si>
  <si>
    <t>Umwandlung eines Sinus-, Cosinus- oder Tangenswertes in einen Winkel</t>
  </si>
  <si>
    <t>Arcus-Sinuswert</t>
  </si>
  <si>
    <t>Arcus = Bogen</t>
  </si>
  <si>
    <t>Arcus-Cosinuswert</t>
  </si>
  <si>
    <t>Umwandlung ins Bogenmaß</t>
  </si>
  <si>
    <t>Arcus-Tangenswert</t>
  </si>
  <si>
    <t>1. Winkel in Grad ist bekannt:  bogenmass()   &gt;&gt;  sin() oder cos() oder tan()</t>
  </si>
  <si>
    <t>Winkel aus Sinus</t>
  </si>
  <si>
    <t>2. Sinus- oder Cosinus- oder Tangenswert bekannt: arcsin() oder arccos() oder arctan() &gt;&gt; grad()</t>
  </si>
  <si>
    <t>Winkel aus Cosinus</t>
  </si>
  <si>
    <t>Winkel aus Tangens</t>
  </si>
  <si>
    <t>3. Länge zweier Dreieckseiten bekannt: G/H  oder A/H  oder G/A ergibt Sinus- oder Cosinus- oder Tangenswert,</t>
  </si>
  <si>
    <t>weiter siehe 2.</t>
  </si>
  <si>
    <t>Zusammenfassung:</t>
  </si>
  <si>
    <t>Umwandlung eines Winkels in Sinus-, Cosinus- oder Tangenswerte</t>
  </si>
  <si>
    <t>Die Gegenkathete liegt dem Winkel gegenüber, den man bestimmen will, bzw. der gegeben ist.</t>
  </si>
  <si>
    <t>Die Hypothenuse liegt immer dem 90°-Winkel gegenüber.</t>
  </si>
  <si>
    <t>Bogenmaß des Winkels</t>
  </si>
  <si>
    <t>Sinus-Wert</t>
  </si>
  <si>
    <t>Winkel &gt;&gt;&gt; Bogenmaß &gt;&gt;&gt; Sin/Cos/Tan</t>
  </si>
  <si>
    <t>Cosinus-Wert</t>
  </si>
  <si>
    <t>Tangens-Wert</t>
  </si>
  <si>
    <t>Sin/Cos/Tan &gt;&gt;&gt; Arcsin/Arccos/Arctan &gt;&gt;&gt; Grad</t>
  </si>
  <si>
    <t>Sinuswert</t>
  </si>
  <si>
    <t>Cosinuswert</t>
  </si>
  <si>
    <t>Tangenswert</t>
  </si>
  <si>
    <t>0,12  entspricht 12/100, damit ist die Ankathete 100 E lang, die Gegenkathete 12 E lang.</t>
  </si>
  <si>
    <t>Das Bogenmass</t>
  </si>
  <si>
    <t>Winkel:</t>
  </si>
  <si>
    <t>Bogenmass:</t>
  </si>
  <si>
    <t>=</t>
  </si>
  <si>
    <t>Kreis</t>
  </si>
  <si>
    <t xml:space="preserve">Das Bogenmass beschreibt einen Kreisausschnitt anhand der Länge </t>
  </si>
  <si>
    <t xml:space="preserve">des ihn begrenzenden Bogens. Hierbei wird zunächst angenommen, </t>
  </si>
  <si>
    <r>
      <t xml:space="preserve">dass der Kreis einen Radius von </t>
    </r>
    <r>
      <rPr>
        <b/>
        <i/>
        <sz val="10"/>
        <rFont val="Arial"/>
        <family val="2"/>
      </rPr>
      <t xml:space="preserve">1 </t>
    </r>
    <r>
      <rPr>
        <sz val="10"/>
        <rFont val="Arial"/>
        <family val="2"/>
      </rPr>
      <t>hat.</t>
    </r>
  </si>
  <si>
    <r>
      <t xml:space="preserve">2* </t>
    </r>
    <r>
      <rPr>
        <b/>
        <sz val="10"/>
        <rFont val="Arial"/>
        <family val="2"/>
      </rPr>
      <t>π</t>
    </r>
    <r>
      <rPr>
        <sz val="10"/>
        <rFont val="Arial"/>
        <family val="2"/>
      </rPr>
      <t xml:space="preserve"> * 1 = </t>
    </r>
  </si>
  <si>
    <t>Die Einheit ist hierbei unwichtig. Der Kreisumfang beträgt also 6,28</t>
  </si>
  <si>
    <r>
      <t xml:space="preserve">Um nun auf das Bogenmass eines "Tortenstückes" mit Winkel </t>
    </r>
    <r>
      <rPr>
        <b/>
        <sz val="10"/>
        <rFont val="Arial"/>
        <family val="2"/>
      </rPr>
      <t>α</t>
    </r>
  </si>
  <si>
    <t>zu kommen, muss das Bogenmass des gesamten Kreises mit</t>
  </si>
  <si>
    <r>
      <t>α</t>
    </r>
    <r>
      <rPr>
        <sz val="10"/>
        <rFont val="Arial"/>
        <family val="2"/>
      </rPr>
      <t>/360 multipliziert werden.</t>
    </r>
  </si>
  <si>
    <r>
      <t xml:space="preserve">Beispiel: Winkel </t>
    </r>
    <r>
      <rPr>
        <b/>
        <sz val="10"/>
        <rFont val="Arial"/>
        <family val="2"/>
      </rPr>
      <t>α</t>
    </r>
    <r>
      <rPr>
        <sz val="10"/>
        <rFont val="Arial"/>
        <family val="2"/>
      </rPr>
      <t xml:space="preserve"> hat 120 Grad:</t>
    </r>
  </si>
  <si>
    <t>120/360=</t>
  </si>
  <si>
    <t>1/3</t>
  </si>
  <si>
    <t>* 1/3 = 2,094395103</t>
  </si>
  <si>
    <t>Der Winkel  α hat also ein Bogenmass von 2,09....</t>
  </si>
  <si>
    <t>Diese Berechung erledigt Excel allerdings selbstständig.</t>
  </si>
  <si>
    <t>Eingegeben werden muss nur die Formel:</t>
  </si>
  <si>
    <t>"=BOGENMASS(WINKEL)"</t>
  </si>
  <si>
    <t xml:space="preserve">Wenn wir das errechnete Bogenmass eines Winkels </t>
  </si>
  <si>
    <t xml:space="preserve">wieder durch 6,28... Teilen, so erhalten wir die </t>
  </si>
  <si>
    <t>Grösse des Winkels in der Einheit "KREIS"</t>
  </si>
  <si>
    <t>Umrechnung eines Winkels in das Bogenmaß</t>
  </si>
  <si>
    <t>Kreisumfang mit r = 1</t>
  </si>
  <si>
    <t>Winkel des Vollkreises</t>
  </si>
  <si>
    <t>Anteil des Winkels</t>
  </si>
  <si>
    <t>Bogenmaß</t>
  </si>
  <si>
    <t>Länge des Tortenstück-Rückens</t>
  </si>
  <si>
    <t>Bogenmass()-Funktion verwendet</t>
  </si>
  <si>
    <t>Umrechung eines Winkels in einen Sinus-, Cosinus- und Tangenswert</t>
  </si>
  <si>
    <t>Umrechnung eines Sinus-, Cosinus und Tangenswerts in Grad</t>
  </si>
  <si>
    <t>Arcus Sinus</t>
  </si>
  <si>
    <t>Arcus Cosinus</t>
  </si>
  <si>
    <t>Arcus Tangens</t>
  </si>
  <si>
    <t>Ein Winkel in Grad muss in der Excel-Tabelle zunächst ins Bogemaß (Funktion bogenmass())</t>
  </si>
  <si>
    <t>umgerechnet werden, dann erst in eine Dezimalzahl, die sich aus dem Streckenverhältnis ergibt,</t>
  </si>
  <si>
    <t>Pythagoras-Sinus-Cosinus-Tangens</t>
  </si>
  <si>
    <t>Messwerte im gezeichneten Dreieck (Beispiel)</t>
  </si>
  <si>
    <t>Welchen Winkel bildet eine Straße mit der Horizontalen,</t>
  </si>
  <si>
    <t>wenn das Straßenverkehrsschild eine Steigung von 12% anzeigt?</t>
  </si>
  <si>
    <t>Steigung in Prozent</t>
  </si>
  <si>
    <t>als Dezimalzahl</t>
  </si>
  <si>
    <t>Ankathete (Horizontale)</t>
  </si>
  <si>
    <t>Gegenkathete (Höhenzuwachs)</t>
  </si>
  <si>
    <t>Eine Lochkamera ist 36 cm lang und hat eine Bildfläche von 16 mal 11 cm.</t>
  </si>
  <si>
    <t>Wie groß ist der Aufnahmewinkel bezogen auf Breite und Höhe?</t>
  </si>
  <si>
    <t>Welche Breite erfasst die Kamera, wenn der Abstand zum Motiv 8 Meter ist?</t>
  </si>
  <si>
    <t>Aufnahmeabstand</t>
  </si>
  <si>
    <t>halbe Bildbreite</t>
  </si>
  <si>
    <t>Gegenkathete/Ankathete</t>
  </si>
  <si>
    <t>halber Bild-Winkel</t>
  </si>
  <si>
    <t>Bildwinkel</t>
  </si>
  <si>
    <t>halbe Erfassungsbreite</t>
  </si>
  <si>
    <t>Tangens des halben Winkels = x / Aufnahmeabstand</t>
  </si>
  <si>
    <t>Erfassungsbreite</t>
  </si>
  <si>
    <t>x = Aufnahmeabstand * Tangens d. W.</t>
  </si>
  <si>
    <t>Welche Tiefe muss eine Lochkamera haben, damit bei einem</t>
  </si>
  <si>
    <t>Aufnahmeformat von 12 mal 9 cm ein 3,6 m breiter Gegenstand,</t>
  </si>
  <si>
    <t>der 5 m entfernt ist, vollständig abgebildet wird?</t>
  </si>
  <si>
    <t>Motivbreite</t>
  </si>
  <si>
    <t>halbe Motivbreite</t>
  </si>
  <si>
    <t>halbe Bildbreie</t>
  </si>
  <si>
    <t>Gegenkathete/Ankathete = halbe Motivbreite / Aufn.-abstand</t>
  </si>
  <si>
    <t>tan() = halbe Bildbreite / Bildweite &gt;&gt;&gt; Bildweite = halbe Bildbreite / tan()</t>
  </si>
  <si>
    <t>Eine Fläche mit einer Breite von 50 cm wird beleuchtet. Welche Helligkeit</t>
  </si>
  <si>
    <t xml:space="preserve">hat die Fläche, wenn sie um einen bestimmten Winkel schräg zur </t>
  </si>
  <si>
    <t>Einfallsrichtung des Lichtes gedreht wird?</t>
  </si>
  <si>
    <t>Cosinus(Winkel) = Ankathete / Hypothenuse</t>
  </si>
  <si>
    <t>Schräggestellte Fläche &gt;&gt; Hypothenuse &gt;&gt; konstanter Wert 50 cm</t>
  </si>
  <si>
    <t>Die Ankathete wird umso kürzer, je schräger die Fläche gestellt wird, also</t>
  </si>
  <si>
    <t>je größer der Winkel links unten wird.</t>
  </si>
  <si>
    <t xml:space="preserve">Ankathete = Cosinus(Winkel) * Hypothenuse </t>
  </si>
  <si>
    <t>Ein Wanderer legt eine Strecke von 900 Metern zurück und überwindet</t>
  </si>
  <si>
    <t>dabei einen Höhenunterschied von 75 Metern. Welchen Anstiegswinkel</t>
  </si>
  <si>
    <t xml:space="preserve">hat die Straße? Welchen Prozentwert müsste ein dort aufgestelltes </t>
  </si>
  <si>
    <t>Verkehrsschild zeigen?</t>
  </si>
  <si>
    <t>zurückgelegte Strecke</t>
  </si>
  <si>
    <t>Höhenunterschied</t>
  </si>
  <si>
    <t>Gegenkathete / Hypothenuse</t>
  </si>
  <si>
    <t>Bogenmaß-Wert</t>
  </si>
  <si>
    <t>ArcSin-Funktion</t>
  </si>
  <si>
    <t>Grad-Funktion</t>
  </si>
  <si>
    <t>Prozentwert mit Dreisatz?</t>
  </si>
  <si>
    <t>Ankathete berechnen mit Pythagoras:</t>
  </si>
  <si>
    <t>Hypothenuse²  = Gegenkathete² + Ankathete²</t>
  </si>
  <si>
    <t>Ankathete berechnen mit Cosinus-Funktion:</t>
  </si>
  <si>
    <t>Cosinus(Winkel) *  Hypothenuse = Ankathete</t>
  </si>
  <si>
    <t>Cosinus-Wert des Winkels</t>
  </si>
  <si>
    <t>Ankathete berechnen mit Tangens-Funktion:</t>
  </si>
  <si>
    <t>Tangens(Winkel) = Gegenkathete / Ankathete</t>
  </si>
  <si>
    <t>Ankathete * Tangens(Winkel) = Gegenkathete</t>
  </si>
  <si>
    <t>Tangens-Wert des Winkels</t>
  </si>
  <si>
    <t>Ankathete = Gegenkathete / Tangens(Winkel)</t>
  </si>
  <si>
    <t>Prozentwert des Verkehrschildes:</t>
  </si>
  <si>
    <t>Gegenkathete / Ankathete entspricht Tangens-Wert</t>
  </si>
  <si>
    <t>Faktor 100 für ganze Zahl</t>
  </si>
  <si>
    <t>Gerundet auf 0 Nachkommastellen</t>
  </si>
  <si>
    <t>Ein Haus hat eine Firsthöhe von 9 Metern (höchster Punkt). Auf welcher Höhe</t>
  </si>
  <si>
    <t>befindet sich die Regenrinne, wenn das Dach eine Neigung von 35 Grad zur</t>
  </si>
  <si>
    <t>Horizontalen hat und jede Dach-Seite 7 Meter lang ist?</t>
  </si>
  <si>
    <t>Firsthöhe</t>
  </si>
  <si>
    <t>Dachlänge</t>
  </si>
  <si>
    <t>Dachwinkel</t>
  </si>
  <si>
    <t>Bogenmaß des Dachwinkels</t>
  </si>
  <si>
    <t>Sinuswert des Dachwinkels</t>
  </si>
  <si>
    <t>sin(35°) = Gegenk. / Hypoth.</t>
  </si>
  <si>
    <t>Regenrinnenhöhe</t>
  </si>
  <si>
    <t>Firsthöhe - Gegenkathete</t>
  </si>
  <si>
    <t>Welchen Winkel bildet das Dach am First?</t>
  </si>
  <si>
    <t>Winkelsumme im Dreieck ist 180°</t>
  </si>
  <si>
    <t>Wie breit ist das Gebäude?</t>
  </si>
  <si>
    <t>Tangenswert des Dachwinkels</t>
  </si>
  <si>
    <t>Halbe Gebäudebreite (Ankathete)</t>
  </si>
  <si>
    <t>Ankathete = Gegenkathete / tan(35°)</t>
  </si>
  <si>
    <t>Gebäudebreite</t>
  </si>
  <si>
    <t>Mit Pythagoras</t>
  </si>
  <si>
    <t>Im rechtwinkligen Dreieck gilt: Hypothenuse ^2 = Gegenkathete ^2 + Ankathete ^2</t>
  </si>
  <si>
    <t>Um wie viel Grad muss man die Kamera drehen, wenn man  zwei Gegenstände,</t>
  </si>
  <si>
    <t xml:space="preserve">die 7 Meter von einander und jeweils 12 Meter von der Kamera entfernt sind, </t>
  </si>
  <si>
    <t>so fotografieren will, dass jeder Gegenstand in der Mitte des Formats ist?</t>
  </si>
  <si>
    <t>Abstand Gegenstände</t>
  </si>
  <si>
    <t>Abstand Gegenstand-Kamera</t>
  </si>
  <si>
    <t>Sinus(Winkel)</t>
  </si>
  <si>
    <t>Drehwinkel Kamera</t>
  </si>
  <si>
    <t>Das Fernsehbild-Format hat ein Seitenverhältnis von 4 : 3, das künftige von 16 : 9.</t>
  </si>
  <si>
    <t>Um wieviel Grad unterscheidet sich die Steigung der Diagonalen beider Formate?</t>
  </si>
  <si>
    <t>Tangens(Winkel)</t>
  </si>
  <si>
    <t>Bogenmaßwert</t>
  </si>
  <si>
    <t>PAL-Norm</t>
  </si>
  <si>
    <t>720 mal 576 Pixeln</t>
  </si>
  <si>
    <t>HD-ready</t>
  </si>
  <si>
    <t>1280 mal 720 Pixel</t>
  </si>
  <si>
    <t>Full-HD</t>
  </si>
  <si>
    <t>1920 mal 1080 Pixel</t>
  </si>
  <si>
    <t>Der Mensch kann zwei Punkte gerade noch unterscheiden, wenn er sie</t>
  </si>
  <si>
    <t>unter einem Winkel von 1 Winkelminute sieht.</t>
  </si>
  <si>
    <t>Winkelminute = 1/60 Grad</t>
  </si>
  <si>
    <t>Wie nah muss ein Mensch vor dem Full-HD Fernsehen sitzen, damit er</t>
  </si>
  <si>
    <t>die Pixelstruktur des Bildschirms gerade sehen kann?</t>
  </si>
  <si>
    <t>Das Fernsehgerät hat eine Bildbreite von 80 cm</t>
  </si>
  <si>
    <t>Grenzauflösung des Auges</t>
  </si>
  <si>
    <t>Pixelzahl in der Bildbreite</t>
  </si>
  <si>
    <t>Breite eines Pixels</t>
  </si>
  <si>
    <t>Halbe Pixelbreite/Gegenkathete</t>
  </si>
  <si>
    <t>Bogenmaß des halben Winkels</t>
  </si>
  <si>
    <t>Tangenswert des halben Winkels</t>
  </si>
  <si>
    <t>Betrachtungsabstand/Ankathete</t>
  </si>
  <si>
    <t>Eine Kamera steht auf einem 2 m hohen Stativ, die Filmebene ist senkrecht ausgerichtet.</t>
  </si>
  <si>
    <t xml:space="preserve">Wie stark ist die Neigung der Kamera, weicht die optische Achse/Blickrichtung der Kamera </t>
  </si>
  <si>
    <t>also von der Horizontalen ab, wenn man die Kirchturmspitze im Zentrum des Suchers sieht</t>
  </si>
  <si>
    <t>und weiß, dass die Kirche 118 m hoch und die Entfernung Kamera-Kirchturmspitze</t>
  </si>
  <si>
    <t>1,349 km ist?</t>
  </si>
  <si>
    <t>Welchen Durchmesser hat die von einem Belichtungsmessgerät erfasste Kreisfläche,</t>
  </si>
  <si>
    <t>wenn der Messwinkel 30° ist und das Motiv 8 Meter entfernt ist?</t>
  </si>
  <si>
    <t xml:space="preserve">Bei der Bildbearbeitung mit Photoshop stellen Sie fest, dass der Horizont eines Bildes </t>
  </si>
  <si>
    <t>schief ist und waagerecht gestellt werden soll.</t>
  </si>
  <si>
    <t>Der Horizont trifft das linke Lineal auf einer Höhe von 16,5 cm, das rechte Lineal</t>
  </si>
  <si>
    <t xml:space="preserve">auf einer Höhe von 17,3 cm. Der Abstand zwischen linkem und rechtem Lineal </t>
  </si>
  <si>
    <t>beträgt 40 cm. Um wieviel Grad müssen Sie das Bild drehen?</t>
  </si>
  <si>
    <t>Ein Brett, das 60 mal 60 cm groß ist, wird an einer Seite angehoben, so dass ein</t>
  </si>
  <si>
    <t>Winkel von 38 Grad entsteht. Wieviele Zentimeter wurde das Brett angehoben?</t>
  </si>
  <si>
    <t>Ein Haus hat eine Länge von 10 m. Die beiden gleich großen Flächen</t>
  </si>
  <si>
    <t>des Daches haben eine Neigung von 35 Grad.</t>
  </si>
  <si>
    <t>Welche Höhe hat man im Giebel?</t>
  </si>
  <si>
    <t>Welche Fläche steht für Ziegel oder Solarmodule zur Verfügung, wenn das Haus 8 Meter breit ist?</t>
  </si>
  <si>
    <t>Dachneigung</t>
  </si>
  <si>
    <t>Hauslänge</t>
  </si>
  <si>
    <t>Ankathete, halbe Hauslänge</t>
  </si>
  <si>
    <t>tan(Winkel) = Gegen/An</t>
  </si>
  <si>
    <t>Gegenkathete; Giebelhöhe</t>
  </si>
  <si>
    <t>Gegen = tan(Winkel) * An</t>
  </si>
  <si>
    <t>Länge der geneigten Fläche, Hypothenuse</t>
  </si>
  <si>
    <t>sin(Winkel) = Gegen/Hyp</t>
  </si>
  <si>
    <t>Hyp = Gegen / sin(Winkel)</t>
  </si>
  <si>
    <t>Eine Person steht 2 Meter vor dem Spiegel und betrachtet sich. Augenhöhe = 1,6 Meter.</t>
  </si>
  <si>
    <t>Unter welchem Ausfall-Winkel wird ein vom Knie (40 cm über Boden) reflektierter</t>
  </si>
  <si>
    <t>Lichtstrahl vom Spiegel in das Auge gelenkt?</t>
  </si>
  <si>
    <t>Die Gradationskurve in Photoshop zeigt für den tiefsten Kurvenpunkt die</t>
  </si>
  <si>
    <t>Werte x = 20, y = 5 und für den höchsten Kurvenpunkt die Werte x = 242,</t>
  </si>
  <si>
    <t>y = 254. Welchen Winkel bildet die Gradationskurve mit einer Horizontalen?</t>
  </si>
  <si>
    <t>Welchen Bildwinkel/Sichtwinkel hat ein Objektiv, wenn es eine Brennweite von</t>
  </si>
  <si>
    <t>180 mm hat und das Filmformat 9 cm mal 12 cm ausleuchtet/belichtet.</t>
  </si>
  <si>
    <t>Eine Kamera wird an einer senkrecht stehenden, frei beweglichen Stange in 4 Metern Höhe befestigt. Die optische Achse verläuft horizontal, also senkrecht zur Stange. Wie stark muss die Neigung der Stange in Grad sein, wenn das Sucherzentrum einen Gegenstand auf dem Erdboden zeigen soll, der 9 Meter vom Fußpunkt der Stange entfernt ist? Wie groß ist der Abstand von der Kameraoptik nun zur Senkrechten?</t>
  </si>
  <si>
    <t>Senkrechte Höhe</t>
  </si>
  <si>
    <t>Waagerechte Entfernung</t>
  </si>
  <si>
    <t>Cosinus zum Ergänzungswinkel des Neigewinkels</t>
  </si>
  <si>
    <t>Ergänzungswinkel</t>
  </si>
  <si>
    <t>Neigewinkel</t>
  </si>
  <si>
    <t>Bogenmaß Neigewinkel</t>
  </si>
  <si>
    <t>Sinus Neigewinkel</t>
  </si>
  <si>
    <t>Abstand Kamera zur Senkrechten der Stange</t>
  </si>
  <si>
    <t>Zuwachs in Grad:</t>
  </si>
  <si>
    <t>alpha</t>
  </si>
  <si>
    <t>x/360</t>
  </si>
  <si>
    <t>in Pi</t>
  </si>
  <si>
    <t>Bogenmaß:</t>
  </si>
  <si>
    <t>sin(alpha)</t>
  </si>
  <si>
    <t>Plus/Minus:</t>
  </si>
  <si>
    <t>Verschiebung  in y-Richtung</t>
  </si>
  <si>
    <t>sin(alpha)  + --</t>
  </si>
  <si>
    <t>Faktor:</t>
  </si>
  <si>
    <t>Amplituden-Änderung</t>
  </si>
  <si>
    <t>sin(alpha)  */</t>
  </si>
  <si>
    <t>Phase in Grad</t>
  </si>
  <si>
    <t>Verschiebung in x-Richtung</t>
  </si>
  <si>
    <t>Summe G + B:</t>
  </si>
  <si>
    <t>Ampl1+Ampl2</t>
  </si>
  <si>
    <t>Intensität</t>
  </si>
  <si>
    <t>Einfallswinkel in Grad</t>
  </si>
  <si>
    <t>Bogenmass(Einfallswinkel)</t>
  </si>
  <si>
    <t>Sinus(Bogenmaß(Winkel))</t>
  </si>
  <si>
    <t>Sinus(Brechungswinkel):</t>
  </si>
  <si>
    <t>Brechungswinkel in Grad:</t>
  </si>
  <si>
    <t>Sinus(EW) / Sinus(BW) = n2 / n1</t>
  </si>
  <si>
    <t>Lichtgeschwindigkeit 1, km/Sek.</t>
  </si>
  <si>
    <t>Sinus(EW) = n2/n1 * Sinus(BW)</t>
  </si>
  <si>
    <t>Lichtgeschwindigkeit 2, km/Sek.</t>
  </si>
  <si>
    <t>Sinus(BW) = n1 / n2 * Sinus(EW)</t>
  </si>
  <si>
    <t>Wenn Fehlermeldung #Zahl! erscheint, kann kein</t>
  </si>
  <si>
    <t>Ergebnis ermittelt werden: Es findet Totalreflexion statt.</t>
  </si>
  <si>
    <t>Brechungsindizes für ausgewählte Materialien 
im Bereich des sichtbaren Lichts</t>
  </si>
  <si>
    <t>Material</t>
  </si>
  <si>
    <r>
      <t>Brechungsindex n</t>
    </r>
    <r>
      <rPr>
        <b/>
        <vertAlign val="subscript"/>
        <sz val="10"/>
        <rFont val="Arial"/>
        <family val="2"/>
      </rPr>
      <t>D</t>
    </r>
  </si>
  <si>
    <t>(bei 589 nm)</t>
  </si>
  <si>
    <t>Vakuum</t>
  </si>
  <si>
    <t>Luft (bodennah)</t>
  </si>
  <si>
    <t>Plasma</t>
  </si>
  <si>
    <t>0 … 1</t>
  </si>
  <si>
    <r>
      <t xml:space="preserve">Caesium </t>
    </r>
    <r>
      <rPr>
        <vertAlign val="superscript"/>
        <sz val="10"/>
        <rFont val="Arial"/>
        <family val="2"/>
      </rPr>
      <t>[1]</t>
    </r>
  </si>
  <si>
    <t>Aerogel</t>
  </si>
  <si>
    <t>1,007 … 1,24</t>
  </si>
  <si>
    <t>Eis</t>
  </si>
  <si>
    <t>Wasser</t>
  </si>
  <si>
    <t>menschl. Augenlinse</t>
  </si>
  <si>
    <t>1,35 … 1,42</t>
  </si>
  <si>
    <r>
      <t>Ethanol</t>
    </r>
    <r>
      <rPr>
        <vertAlign val="superscript"/>
        <sz val="10"/>
        <rFont val="Arial"/>
        <family val="2"/>
      </rPr>
      <t>[2]</t>
    </r>
    <r>
      <rPr>
        <sz val="10"/>
        <rFont val="Arial"/>
        <family val="2"/>
      </rPr>
      <t xml:space="preserve"> (liqu.)</t>
    </r>
  </si>
  <si>
    <t>Magnesiumfluorid</t>
  </si>
  <si>
    <t>Flussspat (Calciumfluorid)</t>
  </si>
  <si>
    <t>menschliche Epidermis</t>
  </si>
  <si>
    <t>Tetrachlorkohlenstoff (liqu.)</t>
  </si>
  <si>
    <t>Quarzglas</t>
  </si>
  <si>
    <t>Glyzerin</t>
  </si>
  <si>
    <t>Celluloseacetat (CA)</t>
  </si>
  <si>
    <t>PMMA (Plexiglas™)</t>
  </si>
  <si>
    <t>Benzol (liqu.)</t>
  </si>
  <si>
    <t>Kronglas</t>
  </si>
  <si>
    <t>≈ 1,46 … 1,65</t>
  </si>
  <si>
    <t>Mikroskopische Deckgläser</t>
  </si>
  <si>
    <t>COC (ein Kunststoff)</t>
  </si>
  <si>
    <t>PMMI (ein Kunststoff)</t>
  </si>
  <si>
    <t>Quarz</t>
  </si>
  <si>
    <t>Halit (Steinsalz)</t>
  </si>
  <si>
    <t>Polystyrol (PS)</t>
  </si>
  <si>
    <t>Polycarbonat (PC)</t>
  </si>
  <si>
    <t>Epoxidharz</t>
  </si>
  <si>
    <t>≈ 1,55 … 1,63</t>
  </si>
  <si>
    <t>Flintglas</t>
  </si>
  <si>
    <t>≈ 1,56 … 1,93</t>
  </si>
  <si>
    <t>Kohlenstoffdisulfid (liqu.)</t>
  </si>
  <si>
    <t>Kunststoffglas für Brillen (phototrop)</t>
  </si>
  <si>
    <t>bis 1,67 (1,60)</t>
  </si>
  <si>
    <t>Diiodmethan (liqu.)</t>
  </si>
  <si>
    <t>Rubin (Aluminiumoxid)</t>
  </si>
  <si>
    <t>Mineralglas für Brillen (polarisierend)</t>
  </si>
  <si>
    <t>bis 1,9 (1,5)</t>
  </si>
  <si>
    <t>1,45 … 2,14</t>
  </si>
  <si>
    <t>Bleikristall</t>
  </si>
  <si>
    <t>bis 1,93</t>
  </si>
  <si>
    <t>Zirkon</t>
  </si>
  <si>
    <t>Schwefel</t>
  </si>
  <si>
    <t>Zinksulfid</t>
  </si>
  <si>
    <t>Diamant</t>
  </si>
  <si>
    <t>Titandioxid (Anatas)</t>
  </si>
  <si>
    <t>Siliciumcarbid</t>
  </si>
  <si>
    <t>2,65 … 2,69</t>
  </si>
  <si>
    <t>Titandioxid (Rutil)</t>
  </si>
  <si>
    <t>Bleisulfid (PbS, 590 nm)</t>
  </si>
  <si>
    <t>Ein Lichtstrahl durchdringt zunächst Wasser und danach das Glas</t>
  </si>
  <si>
    <t xml:space="preserve">einer Glasscheibe. Der Einfallswinkel des Lichtstrahls ist 38°. Der </t>
  </si>
  <si>
    <t>Brechungsindex von Wasser ist 1,33, der Brechungsindex des Glases</t>
  </si>
  <si>
    <t>ist 1,52. Wie groß ist der Brechungswinkel?</t>
  </si>
  <si>
    <t>Einfallswinkel</t>
  </si>
  <si>
    <t>Maximale Lichtgeschwindigkeit</t>
  </si>
  <si>
    <t>Lösung zu a)</t>
  </si>
  <si>
    <t>Bogenmaß Einfallsw.</t>
  </si>
  <si>
    <t>Formel für die Brechung:</t>
  </si>
  <si>
    <t>Sinus Einfallsw.</t>
  </si>
  <si>
    <t>Sinus Einfallswinkel / Sinus Brechungswinkel = Index Medium 2 / Index Medium 1</t>
  </si>
  <si>
    <t>umgeformt: Sin Brechungsw. = Sin Einfallsw. * Index 1 / Index 2</t>
  </si>
  <si>
    <t>Sinus Brechungsw.</t>
  </si>
  <si>
    <t>Bogenmaß des Sinuswerts</t>
  </si>
  <si>
    <t>arcsin()</t>
  </si>
  <si>
    <t>Brechungswinkel</t>
  </si>
  <si>
    <t>grad()</t>
  </si>
  <si>
    <t>Lösung zu b)</t>
  </si>
  <si>
    <t>Formel Lichtgeschwindigkeit und Brechungsindex:</t>
  </si>
  <si>
    <t>Brechungsindex = Maximale Lichtgeschwindigkeit / Lichtgeschw. im Medium</t>
  </si>
  <si>
    <t>umgeformt: Lichtgeschw. im Medium = Max. Lichtgeschw. / Brechungsindex</t>
  </si>
  <si>
    <t>Ein Taucher im See leuchtet mit seiner Taschenlampe nach oben, wobei</t>
  </si>
  <si>
    <t>der Lichtstrahl mit einem Einfallswinkel von 19 Grad auf die Grenzfläche</t>
  </si>
  <si>
    <t>zu Luft trifft.</t>
  </si>
  <si>
    <t>a) Wie groß ist der Brechungswinkel?</t>
  </si>
  <si>
    <t>Die Lampe des Tauchers befindet sich in einer Tiefe von 4 Metern</t>
  </si>
  <si>
    <t>Der Kollege des Tauchers sitzt im Ruderboot genau über dem Taucher.</t>
  </si>
  <si>
    <t>Seine Augen befinden sich 90 cm über der Wasseroberfläche.</t>
  </si>
  <si>
    <t>b) Wie weit muss er wegrudern, damit er den Lichtstrahl der Lampe sehen kann?</t>
  </si>
  <si>
    <t>Brechungsindex Wasser n1</t>
  </si>
  <si>
    <t>Brechungsindex Luft n2</t>
  </si>
  <si>
    <t>Tiefe Lichtquelle</t>
  </si>
  <si>
    <t>Augenhöhe über Wasser</t>
  </si>
  <si>
    <t>Rotes Dreieck:</t>
  </si>
  <si>
    <t>Bogenmaß Einfallswinkel</t>
  </si>
  <si>
    <t>Tangenswert Einfallswinkel</t>
  </si>
  <si>
    <t>Formel: tan() = x /4 nach x auflösen</t>
  </si>
  <si>
    <t>Brechungswinkel berechnen:</t>
  </si>
  <si>
    <t>Sinuswert Einfallswinkel nötig</t>
  </si>
  <si>
    <t>Sinuswert Einfallswinkel</t>
  </si>
  <si>
    <t>Sinuswert Brechungswinkel</t>
  </si>
  <si>
    <t>sin(EW) / sin(BW) = n2 / n1</t>
  </si>
  <si>
    <t>Bogenmaß Brechungswinkel</t>
  </si>
  <si>
    <t>sin(BW) = sin(EW) * n1 / n2</t>
  </si>
  <si>
    <t>Graues Dreieck:</t>
  </si>
  <si>
    <t>Winkel im grauen Dreieck (grün)</t>
  </si>
  <si>
    <t>Bogenmaß Winkel</t>
  </si>
  <si>
    <t>Tangenswert Winkel</t>
  </si>
  <si>
    <t>tan() = 0,9 / Y   &gt;&gt;&gt;&gt; Y = 0,9  / tan()</t>
  </si>
  <si>
    <t>Lösung (Strecke wegrudern)</t>
  </si>
  <si>
    <t>Lichtbrechung (Änderung der Ausbreitungsrichtung) erfolgt, wenn Licht schräg in ein Medium</t>
  </si>
  <si>
    <t>anderer optischer Dichte übertritt. Die aktuelle Lichtgeschwindigkeit ändert sich.</t>
  </si>
  <si>
    <t>Maximale Lichtgeschwindigkeit im Vakuum:</t>
  </si>
  <si>
    <t>Meter pro Sekunde</t>
  </si>
  <si>
    <t>Der Brechungsindex eines Mediums gibt an, wievielmal schneller Licht im Vakuum ist.</t>
  </si>
  <si>
    <t>Ein Brechungsindex von 1,5 bedeutet, die Lichtgeschwindigkeit im Vakuum ist 1,5 mal größer als</t>
  </si>
  <si>
    <t>im Medium, das den Brechungsindex 1,5 hat.</t>
  </si>
  <si>
    <t>Formel:   Brechnungsindex n = max. Lichtgeschwindigkeit / reale Lichtgeschwindigkeit  =  299.792,458 km/s / 206.753,4 km/s = 1,45</t>
  </si>
  <si>
    <t>berechnet</t>
  </si>
  <si>
    <t>Formel für die Berechnung von Brechungswinkeln oder Indizes:</t>
  </si>
  <si>
    <t>umgeformt:</t>
  </si>
  <si>
    <t>Sinus Brechungswinkel = Sinus Einfallswinkel * Brechungsindex 1 / Brechungsindex 2</t>
  </si>
  <si>
    <r>
      <t xml:space="preserve">Sinus Einfallswinkel </t>
    </r>
    <r>
      <rPr>
        <sz val="9"/>
        <rFont val="Calibri"/>
        <family val="2"/>
      </rPr>
      <t>α</t>
    </r>
    <r>
      <rPr>
        <sz val="9"/>
        <rFont val="Arial"/>
        <family val="2"/>
      </rPr>
      <t xml:space="preserve"> / Sinus Brechungswinkel </t>
    </r>
    <r>
      <rPr>
        <sz val="9"/>
        <rFont val="Calibri"/>
        <family val="2"/>
      </rPr>
      <t>β</t>
    </r>
    <r>
      <rPr>
        <sz val="9"/>
        <rFont val="Arial"/>
        <family val="2"/>
      </rPr>
      <t xml:space="preserve"> = Index Medium 2 / Index Medium 1</t>
    </r>
  </si>
  <si>
    <t>Sinus Einfallswinkel = Sinus Brechungswinkel * Brechungsindex 2 / Brechungsindex 1</t>
  </si>
  <si>
    <t>°</t>
  </si>
  <si>
    <t>Sinus des Einfallswinkels</t>
  </si>
  <si>
    <t>Sinus des Brechungswinkels 1</t>
  </si>
  <si>
    <t>Bogenmaß des Brechungswinkels 1</t>
  </si>
  <si>
    <t>Brechungswinkel 1</t>
  </si>
  <si>
    <t>Berechnung des Brechungswinkels 2</t>
  </si>
  <si>
    <t>Brechungsindex Glas n1</t>
  </si>
  <si>
    <t>Brechungsindex n1</t>
  </si>
  <si>
    <t>Brechungsindex n2</t>
  </si>
  <si>
    <t>Einfallswinkel 2</t>
  </si>
  <si>
    <t>Austritt aus Medium 2 in Medium 1:</t>
  </si>
  <si>
    <t>Einfallswinkel 1</t>
  </si>
  <si>
    <t>Licht dringt in ein anderes Medium mit größerem Brechungsindex ein.</t>
  </si>
  <si>
    <t>Brechungsindex Medium 1 mit n2</t>
  </si>
  <si>
    <t>Brechungsindex Medium 2 mit n2</t>
  </si>
  <si>
    <t>b) Wie groß ist die Lichtgeschwindigkeit beiden Medien?</t>
  </si>
  <si>
    <t>Lichtgeschwindigkeit in Medium 1 mit n1</t>
  </si>
  <si>
    <t>Lichtgeschwindigkeit in Medium 2 mit n2</t>
  </si>
  <si>
    <t>Strecke a</t>
  </si>
  <si>
    <t>Strecke b</t>
  </si>
  <si>
    <t>Licht  geht von einem Medium mit einem Brechungsindex von 1,24 über in ein Medium mit einem</t>
  </si>
  <si>
    <t xml:space="preserve">Brechungsindex von 1,92. Der Brechungswinkel ist dabei 31,6 Grad. Unter welchem Winkel ist </t>
  </si>
  <si>
    <t>der Lichtstrahl auf die Grenzfläche zwischen beiden Medien gefallen?</t>
  </si>
  <si>
    <t>Welchen Brechungsindex hat das Medium, in das Licht eindringt, wenn der Brechungsindex des</t>
  </si>
  <si>
    <t>anderen Mediums 1,31 ist, der Einfallswinkel 47 Grad und der Brechungswinkel 19,7 Grad ist?</t>
  </si>
  <si>
    <t>Welchen Brechungsindex hat das Medium, aus dem das Licht kommt, wenn der Brechungsindex des</t>
  </si>
  <si>
    <t>anderen Mediums 1,77 ist, der Einfallswinkel 33 Grad und der Brechungswinkel 8,5 Grad ist?</t>
  </si>
  <si>
    <t>Grenzwinkel</t>
  </si>
  <si>
    <t xml:space="preserve">Wenn Licht in ein dichteres Medium übertritt, ist der Brechungswinkel im kleiner als der Einfallswinkel. Selbst beim </t>
  </si>
  <si>
    <t>größten Einfallswinkel (90°) ergibt sich immer ein Brechungswinkel kleiner 90°.</t>
  </si>
  <si>
    <t>Wenn Licht in ein dünneres Medium übertritt ist es anders: Der Brechungswinkel ist immer größer als der</t>
  </si>
  <si>
    <t>Einfallswinkel. Deshalb erreicht der Brechungswinkel schon den Maximalwert von 90° während der</t>
  </si>
  <si>
    <t>Einfallswinkel noch deutlich kleiner ist. Dieser größte Einfallswinkel, bei dem der Brechungswinkel</t>
  </si>
  <si>
    <t>gerade 90° erreicht, nennt man Grenzwinkel. Besonderheit: Überschreitet man den größten Einfallswinkel,</t>
  </si>
  <si>
    <t>findet keine Brechung, sondern eine Totalreflektion statt, das Licht tritt nicht ins andere, dünnere Medium über.</t>
  </si>
  <si>
    <t>Berechnung des Brechungswinkels, der Lichtgeschwindigkeiten und des Grenzwinkels.</t>
  </si>
  <si>
    <t>Wählen Sie zwei unterschiedliche Brechungsindizes und ermitteln Sie den Grenzwinkel durch Variation des</t>
  </si>
  <si>
    <t>Einfallswinkels zwischen 0° und 90°. Tauschen Sie den größeren Index-Wert gegen den kleineren Wert und variieren Sie wiederum</t>
  </si>
  <si>
    <t>den Einfallswinkel. Wenn Fehlermeldung #Zahl! erscheint, kann kein Ergebnis ermittelt werden: Es findet Totalreflexion statt.</t>
  </si>
  <si>
    <t>Finden Sie den exakten Winkelwert für den Wechsel zur Fehlermeldung.</t>
  </si>
  <si>
    <t>Wenn Licht in ein dichteres Medium übergeht, kann es an der Grenzfläche zu einer Totalreflektion</t>
  </si>
  <si>
    <t>kommen. Versuchen Sie den Grenz-Winkel zu ermitteln, bei dem statt der Brechung eine Totalreflektion</t>
  </si>
  <si>
    <t>stattfindet. Verwenden Sie dazu  die Brechungsindizes n1 = 1,8 und n2 = 1,1.</t>
  </si>
  <si>
    <t>Einfallswinkel alpha 1</t>
  </si>
  <si>
    <t>sinus Einfallswinkel / sinus Brechungswinkel = n2 / n1</t>
  </si>
  <si>
    <t>Bogenmaß alpha 1</t>
  </si>
  <si>
    <t>sin(Brechungswinkel) = sin(Einfallswinkel) * Brechungsindex 1  /  Brechungsindex 2</t>
  </si>
  <si>
    <t>Sinus alpha 1</t>
  </si>
  <si>
    <t>Sinus alpha 2</t>
  </si>
  <si>
    <t>Bogenmaß alpha 2</t>
  </si>
  <si>
    <t>Brechnungswinkel, alpha 2</t>
  </si>
  <si>
    <t>Brechungswinkel muss möglichst nahe an 90° sein</t>
  </si>
  <si>
    <t xml:space="preserve">Alternative: </t>
  </si>
  <si>
    <t>Formel zur Berechnung des Grenzwinkels:</t>
  </si>
  <si>
    <t>n2 / n1</t>
  </si>
  <si>
    <t>arcsin</t>
  </si>
  <si>
    <t>Größter Einfallswinkel &gt;&gt; größter Brechungswinkel = Grenzwinkel</t>
  </si>
  <si>
    <t>Brechungswinkel alpha 2</t>
  </si>
  <si>
    <t>Bogenmaß von alpha 2</t>
  </si>
  <si>
    <t>sinus Einfallswinkel = sinus Brechungswinkel *  n2 / n1</t>
  </si>
  <si>
    <t>Sinus des Bogenmaßes</t>
  </si>
  <si>
    <t xml:space="preserve"> = Sinus von alpha 2</t>
  </si>
  <si>
    <t>Umrechnung Winkel:   Bogenmaß &gt;&gt; Sinus</t>
  </si>
  <si>
    <t>Sinus Einfallswinkel</t>
  </si>
  <si>
    <t>Bogenmass Einfallswinkel</t>
  </si>
  <si>
    <t xml:space="preserve"> =runden(Zellbezug;Nachkommastellen)</t>
  </si>
  <si>
    <t>n2 = n1 * sin alpha 1 / sin alpha 2</t>
  </si>
  <si>
    <t>sin alpha 1</t>
  </si>
  <si>
    <t>sin alpha 2</t>
  </si>
  <si>
    <t>n1 = n2 * sin alpha 2 / sin alpha 1</t>
  </si>
  <si>
    <t>Weitere Aufgaben:</t>
  </si>
  <si>
    <t>kommen. Versuchen Sie den Winkel zu ermitteln, bei dem statt der Brechung eine Totalreflektion</t>
  </si>
  <si>
    <t>Zwei zueinander schräg stehende Glasflächen eines Prismas werden von Licht</t>
  </si>
  <si>
    <t>durchdrungen. Der Winkel zwischen den Glasflächen beträgt 33 Grad, der Brechungs-</t>
  </si>
  <si>
    <t>index des Glases ist n = 1,55. Das Glas ist vollständig umgeben von einer Flüssigkeit</t>
  </si>
  <si>
    <t>mit einem Brechungsindex von 1,05. Unter welchem Winkel tritt das Licht aus dem</t>
  </si>
  <si>
    <t>Glasprisma aus, wenn es unter einem Winkel von 40 Grad eindringt?</t>
  </si>
  <si>
    <t>Winkel zwischen Grenzflächen</t>
  </si>
  <si>
    <t>Brechungsindex außen</t>
  </si>
  <si>
    <t>Brechungsindex innen</t>
  </si>
  <si>
    <t>Sinus Brechungswinkel</t>
  </si>
  <si>
    <t>Bogenmaß (arcsin)</t>
  </si>
  <si>
    <t>Brechungswinkel (grad)</t>
  </si>
  <si>
    <t>Sinus Brechungswinkel = Sinus Einfallswinkel * n1 / n2</t>
  </si>
  <si>
    <t>Winkel W1</t>
  </si>
  <si>
    <t>Winkel W2</t>
  </si>
  <si>
    <t>Ein Lichtstrahl soll ein gleichseitiges Glasprisma mit n = 1,65 durchdringen, das</t>
  </si>
  <si>
    <t xml:space="preserve"> von einem Medium mit n = 1 umgeben ist.</t>
  </si>
  <si>
    <t>Unter welchem Winkel Alpha muss der Lichtstrahl auf das Prisma auftreffen, wenn</t>
  </si>
  <si>
    <t xml:space="preserve">Im gleichseitigen Dreieck sind </t>
  </si>
  <si>
    <t>alle Winkel 60 Grad.</t>
  </si>
  <si>
    <t>Einfallswinkel ?</t>
  </si>
  <si>
    <t>Winkelsumme im Dreieck</t>
  </si>
  <si>
    <t>Eckwinkel im gleichseitigen D.</t>
  </si>
  <si>
    <t>Winkel W1 entspricht Eckwinkel</t>
  </si>
  <si>
    <t>Sinus Einfallswinkel = Sinus Brechungsw. * n2 / n1</t>
  </si>
  <si>
    <t>Bogenmaß (arcssin)</t>
  </si>
  <si>
    <t>Einfallswinkel (grad)</t>
  </si>
  <si>
    <t>Einfallswinkel 2 (90°-60°)</t>
  </si>
  <si>
    <t>Sinus</t>
  </si>
  <si>
    <t>Ein Lichtstrahl soll ein Glasprisma (n = 1,60) durchdringen, das von einem Medium mit</t>
  </si>
  <si>
    <t>n = 1,2 umgeben ist. Der Lichtstrahl trifft mit einem Winkel von 25 Grad auf das Prisma auf</t>
  </si>
  <si>
    <t>und tritt unter einem Winkel von 20,9025597 Grad aus dem Prisma aus.</t>
  </si>
  <si>
    <t>Berechnen Sie den Winkel, den die beiden Grenzflächen bilden, die vom Licht durchdrungen werden.</t>
  </si>
  <si>
    <t>Brechungswinkel (grün) berechnen.</t>
  </si>
  <si>
    <t>Winkel links unten im roten Dreieck errechnen.</t>
  </si>
  <si>
    <t>Einfallswinkel beim Austreten aus dem Prisma berechnen</t>
  </si>
  <si>
    <t>Winkel rechts unten im roten Dreieck berechnen.</t>
  </si>
  <si>
    <t>Winkelsumme im roten Dreieck = 180°, d. h.</t>
  </si>
  <si>
    <t>180° minus beide Eckwinkel des roten Dreiecks = Ergebnis</t>
  </si>
  <si>
    <t>Brechungsindex Umgebung</t>
  </si>
  <si>
    <t>Brechungsindex Prisma</t>
  </si>
  <si>
    <t>Brechungsformel:  sinus(Einfallswinkel) / sinus(Brechungswinkel)   =   n2 / n1</t>
  </si>
  <si>
    <t>Austrittswinkel</t>
  </si>
  <si>
    <t>umgeformt:  sinus(Brechungswinkel) = sinus(Einfallswinkel)  *  n1 / n2</t>
  </si>
  <si>
    <t>Sinus Austrittswinkel</t>
  </si>
  <si>
    <t>sin Brechungswinkel 1 grün</t>
  </si>
  <si>
    <t>sin Brechungswinkel 2 blau</t>
  </si>
  <si>
    <t>Brechungswinkel 1 grün</t>
  </si>
  <si>
    <t>Einfallswinkel 2 blau</t>
  </si>
  <si>
    <t>Nachbarwinkel von grün</t>
  </si>
  <si>
    <t>Nachbarwinkel von blau</t>
  </si>
  <si>
    <t>Winkel Prismenspitze</t>
  </si>
  <si>
    <t>Brechung am Prisma</t>
  </si>
  <si>
    <t>Die Lichtbrechung durch eine Linse versteht am besten, wenn man sich</t>
  </si>
  <si>
    <t>die Brechung an einem Prisma genauer ansieht: Das Licht trifft auf</t>
  </si>
  <si>
    <t>Während der Winkel der beiden Grenzflächen beim Prisma konstant ist,</t>
  </si>
  <si>
    <t>zwei zueinander schräg stehende Grenzflächen (Luft-Glas), wir also zweimal gebrochen.</t>
  </si>
  <si>
    <t>beiden Lote bilden (150°).</t>
  </si>
  <si>
    <t>Mit diesem Wert berechnet man dann den 2. Einfallswinkel im</t>
  </si>
  <si>
    <t>Prisma (5°)</t>
  </si>
  <si>
    <t>Zunächst berechnet man den 1. Brechungswinkel mit der passenden Formel (25°)</t>
  </si>
  <si>
    <t>Dann berechnet man im Viereck (grau + rot) den Winkel, den die</t>
  </si>
  <si>
    <t>Licht trifft mit einer Geschwindigkeit von 262589 km/s mit einem Winkel</t>
  </si>
  <si>
    <t xml:space="preserve">von 32 Grad auf die Grenzfläche zu einem anderen Material. </t>
  </si>
  <si>
    <t>Der Brechungswinkel ist 15 Grad.</t>
  </si>
  <si>
    <t>Berechnen Sie den Brechungsindex des zweiten Materials sowie die</t>
  </si>
  <si>
    <t>Lichtgeschwindigkeit im zweiten Material.</t>
  </si>
  <si>
    <t>Lichtgeschwindigkeit im Medium 1</t>
  </si>
  <si>
    <t>Brechungsindex Medium 1</t>
  </si>
  <si>
    <t>Formel: n1 * sin(EW) = n2 * sin(BW)</t>
  </si>
  <si>
    <t>EW</t>
  </si>
  <si>
    <t>Bogenmaß EW</t>
  </si>
  <si>
    <t>Sinus EW</t>
  </si>
  <si>
    <t>BW</t>
  </si>
  <si>
    <t>Bogenmaß BW</t>
  </si>
  <si>
    <t>Sinus BW</t>
  </si>
  <si>
    <t>Brechungsindex Medium 2</t>
  </si>
  <si>
    <t>Lichtgeschwindigkeit in Medium 2</t>
  </si>
  <si>
    <t>er mit gleichem Winkel wieder austreten soll?</t>
  </si>
  <si>
    <t xml:space="preserve">Wenn der Brechnungswinkel 1 im Prisma gleich dem Einfallswinkel 2 </t>
  </si>
  <si>
    <t>im Prisma ist, sind Einfallwinkel und Ausfallwinkel außen gleich.</t>
  </si>
  <si>
    <t>variiert dieser Winkel bei Linsen mit zunehmendem Abstand vom Linsenzentrum (Wölbung).</t>
  </si>
  <si>
    <t>Lineare Polarisation - Brewster'sches Gesetz</t>
  </si>
  <si>
    <t>EW = AW</t>
  </si>
  <si>
    <t>EW + 90° + BW = 180°</t>
  </si>
  <si>
    <t>EW + BW = 90°</t>
  </si>
  <si>
    <t>EW = 90° - BW</t>
  </si>
  <si>
    <t>sin EW = sin (90° - BW)  =  cos BW</t>
  </si>
  <si>
    <t>übernommen ins Brechungsgesetz:</t>
  </si>
  <si>
    <t>sin EW = sin BW * n2 / n1 = cos BW</t>
  </si>
  <si>
    <t>cos BW / sin BW = n2 / n1</t>
  </si>
  <si>
    <t>Berechnung:</t>
  </si>
  <si>
    <t>Brewster'scher EW + BW = 90°</t>
  </si>
  <si>
    <t>Brewster'sche Bedingung:  sin EW = cos BW</t>
  </si>
  <si>
    <t>Brewster'scher Winkel = grad(arctan(n2/n1))</t>
  </si>
  <si>
    <t>Wenn Licht in ein anderes Medium eindringt, wird immer ein kleiner Anteil an der Grenzfläche reflektiert.</t>
  </si>
  <si>
    <t>Bei welchem Einfallswinkel ist der reflektierte Lichtstrahl vollständig polarisiert, wenn</t>
  </si>
  <si>
    <t>die Brechungsindizes bekannt sind?  n1 = 1,1 und n2 = 1,6</t>
  </si>
  <si>
    <t>Wie groß muss der Brechungsindex des zweiten Materials sein, damit das reflektierte Licht, das nicht in</t>
  </si>
  <si>
    <t>das zweite Medium eindringt, bei gegebenem Einfallswinkel vollständig linear polarisiert ist? EW = 38°</t>
  </si>
  <si>
    <t>Wie groß muss der Brechungsindex des ersten Materials sein, damit das reflektierte Licht, das nicht in</t>
  </si>
  <si>
    <t>das zweite Medium eindringt, bei gegebenem Einfallswinkel vollständig linear polarisiert ist?  EW = 42°</t>
  </si>
  <si>
    <t>sin EW / sin BW  = n2 / n1 oder  sin EW * n1  = sin BW * n2</t>
  </si>
  <si>
    <t>sin EW</t>
  </si>
  <si>
    <t>sin BW</t>
  </si>
  <si>
    <t>Winkelsumme</t>
  </si>
  <si>
    <t>Ziel:  Einfallswinkel + Brechungswinkel = 90 Grad</t>
  </si>
  <si>
    <t xml:space="preserve">Lösungsmethode 1: </t>
  </si>
  <si>
    <t>Einfallswinkel so lange verändern, bis die Summe aus Einfallswinkel und Brechungswinkel 90 Grad ist.</t>
  </si>
  <si>
    <t>n2/n1 entspricht Tangens-Wert des Brewster-Winkels</t>
  </si>
  <si>
    <t xml:space="preserve">Lösungsmethode 2: </t>
  </si>
  <si>
    <t>Formel zur Errechnung des Brewster-Winkels nutzen:  Brewster-EW = grad(arctan(n2/n1))</t>
  </si>
  <si>
    <t>Wie berechnet man den "Brewster-Winkel"?</t>
  </si>
  <si>
    <t xml:space="preserve">Wie schräg muss man mit Pol-Filter Richtung Glas fotografieren, damit die Spiegelungen im Glas möglichst </t>
  </si>
  <si>
    <t>weitgehend unsichtbar gemacht werden kann?</t>
  </si>
  <si>
    <t>Das reflektierte Licht ist dann vollständig polarisiert, wenn zwischen dem reflektierten und dem gebrochenen</t>
  </si>
  <si>
    <t>Lichtstrahl ein Winkel von 90° gebildet wird.</t>
  </si>
  <si>
    <t>Den speziellen Einfalls- bzw. Reflektionswinkel nennt man Brewster-Winkel.</t>
  </si>
  <si>
    <t>Das polarisierte Reflektionslicht kann mit einem Polarisationsfilter gesperrt werden.</t>
  </si>
  <si>
    <t>Bei anderen Einfalls-/Reflektionswinkeln als dem Brewster-Winkel ist der Anteil an polarisiertem Licht und</t>
  </si>
  <si>
    <t>damit die Wirkung eines Polarisationsfilters kleiner.</t>
  </si>
  <si>
    <t>Formel verkürzt:</t>
  </si>
  <si>
    <t>das zweite Medium eindringt, bei gegebenem Einfallswinkel vollständig linear polarisiert ist?</t>
  </si>
  <si>
    <t>Einfalls- bzw. Ausfallswinkel</t>
  </si>
  <si>
    <t>Winkel Lichtstrahl zur Oberfläche</t>
  </si>
  <si>
    <t>Brewster-Gesetz angewandt (EW + BW = 90°)</t>
  </si>
  <si>
    <t>sin(Einfallswinkel)</t>
  </si>
  <si>
    <t>sin(Brechungswinkel)</t>
  </si>
  <si>
    <t>sin EW / sin BW = n2 / n1  oder  n2 = n1 * sin EW / sin BW</t>
  </si>
  <si>
    <t>sin EW / sin BW = n2 / n1  oder  n1 = n2 * sin BW / sin EW</t>
  </si>
  <si>
    <t>Brewster-Winkel = 90° - Brechungswinkel</t>
  </si>
  <si>
    <t>Einfallswinkel = Ausfallswinkel</t>
  </si>
  <si>
    <t>Welche Brennweite hat eine Linse, deren Brechungsindex und Krümmungsradien bekannt sind?</t>
  </si>
  <si>
    <t>Dünne Linse</t>
  </si>
  <si>
    <t>Brechungsindex Linse</t>
  </si>
  <si>
    <t>Linsen-Krümmungsradius 1</t>
  </si>
  <si>
    <t>Eingabe in Metern, zum Motiv mit positivem Wert</t>
  </si>
  <si>
    <t>Linsen-Krümmungsradius 2</t>
  </si>
  <si>
    <t>Eingabe in Metern, zum Bild mit negativem Wert</t>
  </si>
  <si>
    <t>Kehrwert der Brennweite, 1/f</t>
  </si>
  <si>
    <t>Radien müssen in Einheit Meter verwendet werden</t>
  </si>
  <si>
    <t>Dicke Linse</t>
  </si>
  <si>
    <t>Dicke der Linse in der Mitte</t>
  </si>
  <si>
    <t>Welche Gesamtbrennweite hat ein Linsensystem, wenn die Brennweiten der Einzellinsen bekannt sind?</t>
  </si>
  <si>
    <t>Mehrere Linsen</t>
  </si>
  <si>
    <t>Brennweite Linse 1</t>
  </si>
  <si>
    <t>Sammellinsen haben positiven Wert</t>
  </si>
  <si>
    <t>Brennweite Linse 2</t>
  </si>
  <si>
    <t>Zerstreuungslinsen haben negativen Wert</t>
  </si>
  <si>
    <t>Kehrwert der Gesamtbrennweite, 1/f</t>
  </si>
  <si>
    <t>Gesamtbrennweite</t>
  </si>
  <si>
    <t>Bis zu sechs Linsen:</t>
  </si>
  <si>
    <t>Brennweite Linse 3</t>
  </si>
  <si>
    <t>Brennweite Linse 4</t>
  </si>
  <si>
    <t>Brennweite Linse 5</t>
  </si>
  <si>
    <t>Brennweite Linse 6</t>
  </si>
  <si>
    <t>Wenn-Funktion, um Division durch 0 zu vermeiden</t>
  </si>
  <si>
    <t>Quelle: Wikipedia</t>
  </si>
  <si>
    <t>Zusammenhang zwischen Aufnahmeabstand (Gegenstandsweite), Bildweite, Brennweite und Abbildungsgröße</t>
  </si>
  <si>
    <t>Die Eingabewerte sind so gewählt, dass die Zusammenhänge deutlich werden!</t>
  </si>
  <si>
    <t>Gegenstands-</t>
  </si>
  <si>
    <t>Bild-</t>
  </si>
  <si>
    <t>Abbildungsmaßstab</t>
  </si>
  <si>
    <t>höhe oder -breite</t>
  </si>
  <si>
    <t>weite</t>
  </si>
  <si>
    <t>Gegenstandsweite</t>
  </si>
  <si>
    <t xml:space="preserve">  Gegenstandsweite</t>
  </si>
  <si>
    <t xml:space="preserve">     Bildweite</t>
  </si>
  <si>
    <t xml:space="preserve">      Verhältnis</t>
  </si>
  <si>
    <t>y</t>
  </si>
  <si>
    <t>f</t>
  </si>
  <si>
    <t>a'</t>
  </si>
  <si>
    <t xml:space="preserve">a'  </t>
  </si>
  <si>
    <t>zu</t>
  </si>
  <si>
    <t>y'</t>
  </si>
  <si>
    <t>dezimal</t>
  </si>
  <si>
    <t>in mm</t>
  </si>
  <si>
    <t>in Brennweiten</t>
  </si>
  <si>
    <t xml:space="preserve">                in Brennweiten</t>
  </si>
  <si>
    <t xml:space="preserve">  in Brennweiten</t>
  </si>
  <si>
    <t>zerlegt in 1f + Rest</t>
  </si>
  <si>
    <t>V</t>
  </si>
  <si>
    <t>1  +</t>
  </si>
  <si>
    <t>1</t>
  </si>
  <si>
    <t>Als Kehrwerte verknüpft!</t>
  </si>
  <si>
    <t>Was kann man in der Tabelle erkennen?</t>
  </si>
  <si>
    <t>Wenn man die Gegenstandsweite und die Bildweite in Brennweiten zerlegt nach dem Muster 1 Brennweite + restliche Brennweiten stellt man fest,</t>
  </si>
  <si>
    <t>dass die restlichen Brennweiten als Kehrwert miteinander verknüpft sind. Wenn beispielsweise die Gegenstandsweite/der Aufnahmeabstand</t>
  </si>
  <si>
    <t>11 Brennweiten groß ist, sind die "restlichen Brennweiten" 10 Brennweiten, also die "restlichen Brennweiten" auf der Bildseite 1/10 Brennweiten groß.</t>
  </si>
  <si>
    <t>Die Bildweite ist damit 1 Brennweite + 1/10 Brennweiten = 1,1 Brennweiten.</t>
  </si>
  <si>
    <t>Umgekehrt gilt das Gleiche: Wenn die "restlichen Brennweiten" der Bildweite 0,02 Brennweiten groß sind, also 2/100 oder 1/50 Brennweiten, dann</t>
  </si>
  <si>
    <t>sind die "restlichen Brennweiten" der Gegenstandsweite 100/2 oder 50/1 Brennweiten, die Gegenstandsweite also 1 + 50 Brennweiten.</t>
  </si>
  <si>
    <t>Als Formel ergibt sich:   a =  f + z    und  a'  = f' + z' , wobei z und z' die "restlichen Brennweiten" sind. In Büchern heißt es oft "Brennpunktabstand".</t>
  </si>
  <si>
    <t>Man kann in der Tabelle auch erkennen, dass der Abbildungsmaßstab V sowohl über das Verhältnis von Bildweite und Gegenstandsweite, also auch</t>
  </si>
  <si>
    <t>über das Verhältnis Bildgröße / Gegenstandsgröße errechnet werden kann.</t>
  </si>
  <si>
    <t>Als Formel ergibt sich:  V = a' / a und  V = y' / y  oder   a' / a  = y' / y</t>
  </si>
  <si>
    <t>Wenn man die zerlegte Gegenstandsweite und den als Verhältnis geschriebenen Abbildungsmaßstab ( 1 zu x ) vergleicht, stellt man fest, dass die</t>
  </si>
  <si>
    <t>Zahlen identisch sind. Wenn also die Gegenstandsweite 21 Brennweiten umfasst, also 1 + 20 Brennweiten ist, dann ist der Abbildungsmaßstab 1 zu 20 oder 1/20.</t>
  </si>
  <si>
    <t>Umgekehrt heißt das: Wenn der Abbildungsmaßstab 1/117 ist, dann ist die Gegenstandsweite 1 Brennweite + 117 Brennweiten = 118 Brennweiten.</t>
  </si>
  <si>
    <t>Als Formel ergibt sich:    V  =  1 / [(a / f) -1]    und   V = 1 / z    und   V = 1/1/z'  =  z'/1   und  a =  f + z  =  1*f + 1/V * f</t>
  </si>
  <si>
    <t>Beim Abbildungsmaßstab 1 zu 1 sind Gegenstandsweite und Bildweite immer gleich und immer zwei Brennweiten groß.</t>
  </si>
  <si>
    <t>Aufgabe: Füllen Sie die Tabelle mit den passenden Formeln und überprüfen Sie die Richtigkeit mit anderen Eingabewerten (gelb unterlegte Zellen).</t>
  </si>
  <si>
    <t>Gegeben: a, f, y</t>
  </si>
  <si>
    <t>Variante 2</t>
  </si>
  <si>
    <t>Gegeben: f, V, y</t>
  </si>
  <si>
    <t>Variante 3</t>
  </si>
  <si>
    <t>Gegeben: a', f, y</t>
  </si>
  <si>
    <t>Gesucht: a', V, y'</t>
  </si>
  <si>
    <t>Gesucht: a, a', y'</t>
  </si>
  <si>
    <t>Gesucht a, V, y'</t>
  </si>
  <si>
    <t xml:space="preserve">Farbig unterlegte Felder </t>
  </si>
  <si>
    <t>dürfen verändert werden</t>
  </si>
  <si>
    <t>Gegenstandsweite a</t>
  </si>
  <si>
    <t>Bildweite a'</t>
  </si>
  <si>
    <t>Gegenstandsgröße y</t>
  </si>
  <si>
    <t>Bildgröße y'</t>
  </si>
  <si>
    <t>Abbildungsmaßstab, V</t>
  </si>
  <si>
    <t>Nebenrechnung</t>
  </si>
  <si>
    <t>Wieviele Brennweiten stecken in a?</t>
  </si>
  <si>
    <t>Zerlegung  der Gegenstandsweite in</t>
  </si>
  <si>
    <t>Variante 4</t>
  </si>
  <si>
    <t>Gegeben: a, V, y</t>
  </si>
  <si>
    <t>Variante 5</t>
  </si>
  <si>
    <t>Gegeben: a, a', y</t>
  </si>
  <si>
    <t>Variante 6</t>
  </si>
  <si>
    <t>Gegeben: a', V, y</t>
  </si>
  <si>
    <t>Gesucht: a', f, y'</t>
  </si>
  <si>
    <t>Gesucht: f, V, y'</t>
  </si>
  <si>
    <t>Gesucht: a, f, y'</t>
  </si>
  <si>
    <t>Felder mit grünem Hintergrund dürfen verändert werden</t>
  </si>
  <si>
    <t>Ein Motiv soll formatfüllend mit zwei Kameras fotografiert werden. Das Format von Kamera 1 ist doppelt so hoch und breit wie das andere, die Fläche also viermal so groß.</t>
  </si>
  <si>
    <t>Welche Brennweite muss gewählt werden? Gibt es einen einfachen Zusammenhang zwischen Bildhöhe und Brennweite?</t>
  </si>
  <si>
    <t>Analyse:</t>
  </si>
  <si>
    <t>Abbildungsmaßstab dezimal:</t>
  </si>
  <si>
    <t>Abbildungsmaßstab als Bruch:</t>
  </si>
  <si>
    <t>Gegenstandsweite:</t>
  </si>
  <si>
    <t>Bildweitenänderung mit Faktor:</t>
  </si>
  <si>
    <t>Brennweitenänderung mit Faktor:</t>
  </si>
  <si>
    <t>Brennweitenänderung mit Faktor 1/x:</t>
  </si>
  <si>
    <t>Wenn man den Abbildungsmaßstab jeweils verdoppelt, also z. B. von 1:32 auf 1:16 auf 1:8 auf 1:4, um das Bild auf einem</t>
  </si>
  <si>
    <t>jeweils doppelt so hohen/breiten Format abzubilden, stellt man fest, dass die BILDWEITE jeweils verdoppelt werden muss.</t>
  </si>
  <si>
    <t>Abbildungsmaßstab und Bildweite verändern sich proportional.</t>
  </si>
  <si>
    <r>
      <rPr>
        <b/>
        <sz val="10"/>
        <rFont val="Arial"/>
        <family val="2"/>
      </rPr>
      <t>Die Brennweite ändert sich dagegen nicht proportional</t>
    </r>
    <r>
      <rPr>
        <sz val="10"/>
        <rFont val="Arial"/>
        <family val="2"/>
      </rPr>
      <t xml:space="preserve">. Mit kleiner werdendem Abbildungsmaßstab nähert sich der </t>
    </r>
  </si>
  <si>
    <t>Änderungsfaktor für die Brennweite aber immer mehr dem Faktor, mit dem sich der Abb.-maßstab ändert, hier 0,5 bzw. 2.</t>
  </si>
  <si>
    <t xml:space="preserve">Man kann also sagen, dass bei Abbildungsmaßstäben kleiner 1 zu 100, also Aufnahmeabständen ab 101 Brennweiten, praktisch </t>
  </si>
  <si>
    <t>Proportionalität gegeben ist. Verwendet man ein 50 mm-Objektiv, ist das ein Aufnahmeabstand von 5,05 Metern. Hat die andere Kamera</t>
  </si>
  <si>
    <t>einen Chip mit halber Höhe oder Breite, müsste man mit der halben Brennweite fotografieren, um das Motiv formatfüllend abzubilden.</t>
  </si>
  <si>
    <t>Bildwinkel berechnen</t>
  </si>
  <si>
    <t>Sensor-Maße</t>
  </si>
  <si>
    <t>Sensorformat</t>
  </si>
  <si>
    <t>Diagonale</t>
  </si>
  <si>
    <t>Mittelformat</t>
  </si>
  <si>
    <t>Kleinbildfilm</t>
  </si>
  <si>
    <t>APS-C</t>
  </si>
  <si>
    <t>MFT Micro Four Thirds</t>
  </si>
  <si>
    <t>1 Zoll</t>
  </si>
  <si>
    <t xml:space="preserve"> 2/3-Zoll</t>
  </si>
  <si>
    <t>Welchen Bildwinkel hat ein Objektiv an Kameras mit</t>
  </si>
  <si>
    <t>unterschiedlich großen Sensoren (Chips)?</t>
  </si>
  <si>
    <t>Variante 7</t>
  </si>
  <si>
    <t>Variante 8</t>
  </si>
  <si>
    <t>Variante 9</t>
  </si>
  <si>
    <t>Gegeben: a', y, y'</t>
  </si>
  <si>
    <t>Gesucht: f</t>
  </si>
  <si>
    <t>Gegeben:</t>
  </si>
  <si>
    <t>Gesucht:</t>
  </si>
  <si>
    <t>Eine Person mit einer Höhe von 1,75 m soll auf einem Vollformat-Chip im Hochformat</t>
  </si>
  <si>
    <t>formatfüllend abgebildet werden. Das verwendete Objektiv hat eine Brennweite von 80mm.</t>
  </si>
  <si>
    <t>Berechnen Sie den notwendigen Aufnahmeabstand.</t>
  </si>
  <si>
    <t>Bildhöhe y'</t>
  </si>
  <si>
    <t>Gegenstandshöhe y</t>
  </si>
  <si>
    <t>Abbildungsmaßstab V</t>
  </si>
  <si>
    <t xml:space="preserve">entspricht 1 zu </t>
  </si>
  <si>
    <t>Anzahl Brennweiten im Aufnahmeabstand</t>
  </si>
  <si>
    <t>Ein Gebäude ist 42 m breit und soll mit einer Brennweite von 150 mm fotografiert werden.</t>
  </si>
  <si>
    <t>Wie breit wird das Bild werden, wie breit muss der Aufnahmechip mindestens sein, wenn</t>
  </si>
  <si>
    <t>aus einer Entfernung von 75 Metern fotografiert wird?</t>
  </si>
  <si>
    <t>Anzahl Brennweiten im Aufn.-abstand</t>
  </si>
  <si>
    <t>Zerlegung:</t>
  </si>
  <si>
    <t xml:space="preserve"> f      plus</t>
  </si>
  <si>
    <t>Bildbreite y'</t>
  </si>
  <si>
    <t xml:space="preserve"> y' = V * y</t>
  </si>
  <si>
    <t>Auf einer Großveranstaltung soll ein Kleinbild-Dia mit einer Breite von 36 mm auf eine Leinwand</t>
  </si>
  <si>
    <t>projiziert werden, die 18 Meter breit und 60 Meter entfernt ist.</t>
  </si>
  <si>
    <t>Welche Brennweite muss das Projektionsobjektiv haben?</t>
  </si>
  <si>
    <t>Wie hoch muss die Leinwand sein?</t>
  </si>
  <si>
    <t>Gegenstandsbreite (Dia) y</t>
  </si>
  <si>
    <t>Bildbreite (Leinwand) y'</t>
  </si>
  <si>
    <t>Abbildungsmaßstab V = y' / y</t>
  </si>
  <si>
    <t xml:space="preserve"> zu 1</t>
  </si>
  <si>
    <t>Anzahl Brennweiten f in der Bildweite a'</t>
  </si>
  <si>
    <t>Die Proportion B/H muss bei Dia und Leinwand gleich sein</t>
  </si>
  <si>
    <t>Gegenstandshöhe (Dia)</t>
  </si>
  <si>
    <t>Kleinbild-Proportion H/B</t>
  </si>
  <si>
    <t>24 mm / 36 mm = x / 18 m</t>
  </si>
  <si>
    <t>Leinwandhöhe</t>
  </si>
  <si>
    <t xml:space="preserve">Bei einer Studio-Kamera ist der Abstand zwischen Objektiv- und Bildstandarte 42 cm. In der </t>
  </si>
  <si>
    <t>Objektivstandarte befindet sich ein Objektiv mit einer Brennweite von 150 mm.</t>
  </si>
  <si>
    <t>a) Wie groß würde ein Gegenstand abgebildet, der 20 cm groß ist?</t>
  </si>
  <si>
    <t>b) Wie groß ist der Aufnahmeabstand?</t>
  </si>
  <si>
    <t>c) Welche Belichtungszeit ist nötig, wenn der Messwert eines Belichtungsmessgeräts</t>
  </si>
  <si>
    <t xml:space="preserve"> 1/8 Sekunde bei Blende 22 ergeben hat?</t>
  </si>
  <si>
    <t>Belichtungszeit t</t>
  </si>
  <si>
    <t>Anzahl Brennweiten in der Bildweite</t>
  </si>
  <si>
    <t>1 Brennweite weniger:</t>
  </si>
  <si>
    <t>1 f  + ?f</t>
  </si>
  <si>
    <t>a) Bildhöhe y'</t>
  </si>
  <si>
    <t>y' = Gegenstandshöhe * Abbildungsmaßstab</t>
  </si>
  <si>
    <t>b) Aufnahmeabstand a</t>
  </si>
  <si>
    <t>a = f + f * 1/V</t>
  </si>
  <si>
    <t>Basisbildweite = Brennweite</t>
  </si>
  <si>
    <t>Tatsächliche Bildweite</t>
  </si>
  <si>
    <t>Bildweite / Brennweite</t>
  </si>
  <si>
    <t>Flächenänderungsfaktor = Belichtungskorr.-faktor</t>
  </si>
  <si>
    <t>c) Neue Belichtungszeit</t>
  </si>
  <si>
    <t>Alte Belichtungszeit mal Korrekturfaktor</t>
  </si>
  <si>
    <t>Mit einem Vergrößerungsgerät wird ein Mittelformat-Negativ 6 mal 7 cm auf eine Höhe</t>
  </si>
  <si>
    <t>von 49 cm vergrößert. Es wird ein Objektiv mit einer Brennweite von 80 mm verwendet.</t>
  </si>
  <si>
    <t>Es ist eine Belichtungszeit von 27 Sekunden nötig.</t>
  </si>
  <si>
    <t>a) Wie groß ist der Abstand Objektiv-Fotopapier?</t>
  </si>
  <si>
    <t>b) Wie groß ist der Abstand Objektiv-Negativ?</t>
  </si>
  <si>
    <t>c) Wie hoch könnte die Vergrößerung werden, wenn die korrekte Belichtungszeit</t>
  </si>
  <si>
    <t>81 Sekunden wäre?</t>
  </si>
  <si>
    <t>Gegenstandshöhe Negativ</t>
  </si>
  <si>
    <t>Abstand Objektiv-Negativ  Aufn.-abstand</t>
  </si>
  <si>
    <t>Abstand Objektiv-Bild  Bildweite</t>
  </si>
  <si>
    <t>Belichtungszeit-Faktor</t>
  </si>
  <si>
    <t>Abstandsänderungfaktor</t>
  </si>
  <si>
    <t>Neue Bildhöhe</t>
  </si>
  <si>
    <t>V = y' / y  = a' / a</t>
  </si>
  <si>
    <t>a' = f + f * V = f * (1 + V)</t>
  </si>
  <si>
    <t>a = f + f * 1/V = f *(1 + 1/V)</t>
  </si>
  <si>
    <t>1 / f = 1 / a + 1 / a'</t>
  </si>
  <si>
    <t>Der Berechnungsweg basiert immer auf der Zerlegung der Gegenstandsweite bzw. Bildweite in Brennweiten (siehe Blatt V_a_a'_f)</t>
  </si>
  <si>
    <t>Welchen Durchmesser hat der Bildkreis eines Symmars mit 70° Bildwinkel und einer Brennweite von f = 150 mm</t>
  </si>
  <si>
    <t>wenn die Schärfe a) auf Unendlich und b) auf 4,65 m eingestellt wird?</t>
  </si>
  <si>
    <t>Bildwinkel in Grad</t>
  </si>
  <si>
    <t>Brennweite in mm</t>
  </si>
  <si>
    <t>Aufnahmeabstand in mm</t>
  </si>
  <si>
    <t>Anzahl f in a</t>
  </si>
  <si>
    <t>Tangens Alpha = Gegenkathete / Ankathete</t>
  </si>
  <si>
    <t>Abbildungsmaßstab =      1 zu</t>
  </si>
  <si>
    <t>Abbildungsmaßstab =</t>
  </si>
  <si>
    <t>Gegenkathete = Tangens Alpha * Ankathete</t>
  </si>
  <si>
    <t xml:space="preserve">Bogenmaß </t>
  </si>
  <si>
    <t>Tangens</t>
  </si>
  <si>
    <t>Bildkreisradius in mm</t>
  </si>
  <si>
    <t>Bildkreisdurchmesser in mm</t>
  </si>
  <si>
    <t>Bildweite a' in mm</t>
  </si>
  <si>
    <t>Mit einem Symmar-Objektiv (Bildwinkel 70°), das eine Brennweite von 210 mm besitzt,</t>
  </si>
  <si>
    <t>wird ein Gegenstand, der 1,26 m entfernt ist, fotografiert.</t>
  </si>
  <si>
    <t>Berechnen Sie den Durchmesser des Bildkreises.</t>
  </si>
  <si>
    <t>Berechnen Sie den max. möglichen Verschiebeweg des Filmformats 12 mal 9 cm</t>
  </si>
  <si>
    <t>a) diagonal b) horizontal, c) vertikal.</t>
  </si>
  <si>
    <t>Berechnung der Bildweite</t>
  </si>
  <si>
    <t>Gegenstandsweite/Aufnahmeabstand a</t>
  </si>
  <si>
    <t>Anzahl Brennweiten in a</t>
  </si>
  <si>
    <t>Berechnung von Kreisradius bzw. Durchmesser</t>
  </si>
  <si>
    <t>halber Bildwinkel</t>
  </si>
  <si>
    <t xml:space="preserve"> tan() = r / a'</t>
  </si>
  <si>
    <t>Radius r</t>
  </si>
  <si>
    <t>Durchmesser des Bildkreises</t>
  </si>
  <si>
    <t>Berechnung diagonaler Verschiebeweg</t>
  </si>
  <si>
    <t>Aufnahmeformat-Breite</t>
  </si>
  <si>
    <t>Aufnahmeformat-Höhe</t>
  </si>
  <si>
    <t>Diagonale des Aufnahmeformats</t>
  </si>
  <si>
    <t>Diagonaler Bewegungsspielraum zweimal</t>
  </si>
  <si>
    <t>Berechnung horizontaler Verschiebeweg</t>
  </si>
  <si>
    <t>Halbe Formathöhe</t>
  </si>
  <si>
    <t>Kreisradius</t>
  </si>
  <si>
    <t>Gesuchte Dreieckseite (horizontal)</t>
  </si>
  <si>
    <t>Halbe Formatbreite</t>
  </si>
  <si>
    <t>Verschiebeweg horizontal</t>
  </si>
  <si>
    <t>Berechnung vertikaler Verschiebeweg</t>
  </si>
  <si>
    <t>Gesuchte Dreieckseite (vertikal)</t>
  </si>
  <si>
    <t>Verschiebeweg vertikal</t>
  </si>
  <si>
    <t>Welche Bildwinkel/Sichtwinkel haben Objektive verschiedener Brennweiten und Chip-/Filmformate?</t>
  </si>
  <si>
    <t>Brennweiten:  28 mm, 50 mm, 180 mm</t>
  </si>
  <si>
    <t>Aufn.-formate: Kleinbild, 6 mal 9 cm, 9 x 12 cm</t>
  </si>
  <si>
    <t>Aufnahmeformatbreite</t>
  </si>
  <si>
    <t>Aufnahmeformathöhe</t>
  </si>
  <si>
    <t>Format-Diagonale</t>
  </si>
  <si>
    <t>Bildkreis-Radius</t>
  </si>
  <si>
    <t>Halber  Bildwinkel</t>
  </si>
  <si>
    <t>Ganzer Bild-/Sichtwinkel</t>
  </si>
  <si>
    <t>Welche Motivhöhe wird von den Objektiven in einer bestimmten Entfernung erfasst?</t>
  </si>
  <si>
    <t>Halber Bildwinkel/Sichtwinkel</t>
  </si>
  <si>
    <t>Abstand des Gegenstands</t>
  </si>
  <si>
    <t>Tangenswert halber Bildw.</t>
  </si>
  <si>
    <t xml:space="preserve"> tangenswert =  Gegenkathete / Abstand des Gegenstands</t>
  </si>
  <si>
    <t>Erfasste halbe Motivhöhe</t>
  </si>
  <si>
    <t>Gegenkathete = tangenswert * Abstand des Gegenstand</t>
  </si>
  <si>
    <t>Erfasste ganze Motivhöhe</t>
  </si>
  <si>
    <t>Ein Gegenstand ist 1,82 Meter entfernt und wird mit einem Objektiv fotografiert,</t>
  </si>
  <si>
    <t>das eine Brennweite von 80 mm und einen Bildwinkel von 70° besitzt.</t>
  </si>
  <si>
    <t>Berechnen Sie den Bildkreis-Durchmesser.</t>
  </si>
  <si>
    <t>Berechnen Sie den horizontalen, vertikalen und diagonalen Verschiebeweg eines beliebigen Aufnahmeformats.</t>
  </si>
  <si>
    <t>1 zu</t>
  </si>
  <si>
    <t>Bildkreisradius r</t>
  </si>
  <si>
    <t>tan alpha =  r / a'</t>
  </si>
  <si>
    <t>Bildkreisdurchmesser</t>
  </si>
  <si>
    <t>r = tan alpha * a'</t>
  </si>
  <si>
    <t>b) Horizontale Verschiebung</t>
  </si>
  <si>
    <t>Kreisdurchmesser</t>
  </si>
  <si>
    <t>Obere Dreieckseite x</t>
  </si>
  <si>
    <t xml:space="preserve"> r² = x² + 0,5 Fhö²  &gt;&gt;&gt;&gt;  x²  = r²  - 0,5 Fhö²</t>
  </si>
  <si>
    <t>Beidseitige horiz. Verschiebung y</t>
  </si>
  <si>
    <t>a) Vertikale Verschiebung</t>
  </si>
  <si>
    <t>Linke Dreieckseite x</t>
  </si>
  <si>
    <t>Beidseitige vertikale. Verschiebung y</t>
  </si>
  <si>
    <t>c) Diagonale Verschiebung</t>
  </si>
  <si>
    <t>Beidseitige diagonale Verschiebung</t>
  </si>
  <si>
    <t>Pythagoras: r² = x² + (Formatbreite/2)²</t>
  </si>
  <si>
    <t>x = wurzel( r² - (Formatbreite/2)²</t>
  </si>
  <si>
    <t>Spielraum = x - Formathöhe/2</t>
  </si>
  <si>
    <t>Pythagoras: r² = x² + (Formathöhe/2)²</t>
  </si>
  <si>
    <t>x = wurzel( r² - (Formathöhe/2)²</t>
  </si>
  <si>
    <t>Spielraum = x - Formatbreite/2</t>
  </si>
  <si>
    <t>Radius - halbe Formatdiagonale</t>
  </si>
  <si>
    <t xml:space="preserve">Ein Motiv wird mit einem 150 mm-Objektiv aus einem Aufnahmeabstand von 3,20 m </t>
  </si>
  <si>
    <t>auf dem Filmformat 9 mal 6 cm fotografiert. Das Objektiv hat einen Bildwinkel von 70 Grad.</t>
  </si>
  <si>
    <t>Wieviele Millimeter kann man das Filmformat im Bildkreis, ohne Vignettierung, verschieben:</t>
  </si>
  <si>
    <t>Diagonal, horizontal und vertikal?</t>
  </si>
  <si>
    <t>Brennweite in cm</t>
  </si>
  <si>
    <t>Aufnahmeabstand in cm</t>
  </si>
  <si>
    <t>Formatbreite in cm</t>
  </si>
  <si>
    <t>Formathöhe in cm</t>
  </si>
  <si>
    <t>Anzahl f im Aufn.-abstand a</t>
  </si>
  <si>
    <t>Wieviele Brennweiten stecken</t>
  </si>
  <si>
    <t>Zerlegung 1 f</t>
  </si>
  <si>
    <t>im Aufnahmeabstand ?</t>
  </si>
  <si>
    <t>Restliche Brennweiten</t>
  </si>
  <si>
    <t>Zerlegung für Bildweite:</t>
  </si>
  <si>
    <t>1f</t>
  </si>
  <si>
    <t>Kehrwert restl. Brennweiten</t>
  </si>
  <si>
    <t>Bildweite 1f + 1/20,33 * f</t>
  </si>
  <si>
    <t>Berechnung Radius des Bildkreises</t>
  </si>
  <si>
    <t>Halber Bildwinkel Grad</t>
  </si>
  <si>
    <t>Radius in cm</t>
  </si>
  <si>
    <t>Radius = tangens Alpha * Bildweite</t>
  </si>
  <si>
    <t>Bildkreisdurchmesser in cm</t>
  </si>
  <si>
    <t>Berechnung der Formatdiagonale</t>
  </si>
  <si>
    <t xml:space="preserve">Formatddiagonale in cm </t>
  </si>
  <si>
    <t>Pythagoras: c² = a² + b²</t>
  </si>
  <si>
    <t>c = wurzel(a² + b2)</t>
  </si>
  <si>
    <t>Durchmesser - Formatdiagonale in cm</t>
  </si>
  <si>
    <t>Diagonaler Verschiebeweg in cm</t>
  </si>
  <si>
    <t>x² = r²  - halbe Formathöhe²</t>
  </si>
  <si>
    <t>Zwischenwert x</t>
  </si>
  <si>
    <t>x  = wurzel( r² - halbe Formathöhe²)</t>
  </si>
  <si>
    <t>horizontaler Verschiebeweg in cm</t>
  </si>
  <si>
    <t>beidseitiger Verschiebeweg = x - halbe Formatbreite</t>
  </si>
  <si>
    <t>vertikaler Verschiebeweg in cm</t>
  </si>
  <si>
    <t>Eine Person mit einer Höhe von 190 cm wird mit einem 150 mm-Objektiv 38 mm hoch auf dem Film/Chip abgebildet,</t>
  </si>
  <si>
    <t>der die Maße 50 mal 40 mm hat. Das Objektiv hat einen nutzbaren Bildwinkel von 70 Grad.</t>
  </si>
  <si>
    <t>Wieviele Millimeter kann man das Filmformat im Bildkreis ohne Vignettierung diagonal, horizontal und vertikal verschieben?</t>
  </si>
  <si>
    <t>Gegenstandshöhe in cm</t>
  </si>
  <si>
    <t>Bildhöhe in cm</t>
  </si>
  <si>
    <t xml:space="preserve">Abbildungsmaßstab 1 zu </t>
  </si>
  <si>
    <t>Bildweite 1f + 1/50 * f</t>
  </si>
  <si>
    <t>Welchen Durchmesser hat der Bildkreis? Bitte Bildweite beachten!</t>
  </si>
  <si>
    <t xml:space="preserve">Wieviel Prozent des Kleinbild-Formats sind  praktisch verzeichnungsfrei, </t>
  </si>
  <si>
    <t>wenn man mit einer  Brennweite von 30 mm fotografiert?</t>
  </si>
  <si>
    <t>Kreidurchmesser</t>
  </si>
  <si>
    <t>Cosinus (alpha/2)</t>
  </si>
  <si>
    <t>alpha/2</t>
  </si>
  <si>
    <t>Bogenmaß von alpha</t>
  </si>
  <si>
    <t>Sinus von alpha</t>
  </si>
  <si>
    <t>Fläche A Kreissegment</t>
  </si>
  <si>
    <t>Verzeichnungsfreie Formatfläche</t>
  </si>
  <si>
    <t>Kreissegmentfläche (alle Winkel im Bogenmaß)</t>
  </si>
  <si>
    <t>Fläche Rechteckformat</t>
  </si>
  <si>
    <t>Anteil verz.fr. Fläche/Rechteck</t>
  </si>
  <si>
    <t>Wenn ein Bild schräg auf eine Fläche projiziert wird, verändern sich die Proportionen, das Bild wird verzerrt.</t>
  </si>
  <si>
    <t>Für ein Objektiv gilt die Faustregel: Die praktisch verzeichnungsfreie Zone ist kreisförmig, hat einen Durchmesser von 1 f,</t>
  </si>
  <si>
    <t>wobei der Kreismittelpunkt dort liegt, wo das Licht senkrecht auf die Fläche trifft (i. d. R. der Formatmittelpunkt).</t>
  </si>
  <si>
    <t>Ermitteln Sie die Veränderung des Abbildungsmaßstabs</t>
  </si>
  <si>
    <t>(in %) von der Bildkreismitte zum Bildkreisrand bei</t>
  </si>
  <si>
    <t>veränderbarem Bildwinkel.</t>
  </si>
  <si>
    <t>(Unterschiedliche Bildweiten -&gt; unterschiedliche Abbildungs-</t>
  </si>
  <si>
    <t>maßstäbe)</t>
  </si>
  <si>
    <t>Welchem Veränderungswert entspricht die Regel, dass eine</t>
  </si>
  <si>
    <t>Kreiszone verzerrungsfrei ist, deren Durchmesser der</t>
  </si>
  <si>
    <t>Brennweite entspricht?</t>
  </si>
  <si>
    <t>Gegeben sind das Bildformat und die Brennweite.</t>
  </si>
  <si>
    <t>Wievielmal größer wird ein Objekt in der Bildformatecke abgebildet</t>
  </si>
  <si>
    <t>als im Bildformat-Zentrum?</t>
  </si>
  <si>
    <t>Wie groß ist die Helligkeit in der Bildecke im Vergleich zum Bildzentrum?</t>
  </si>
  <si>
    <t>Formatdiagonale</t>
  </si>
  <si>
    <t>blaue Linie</t>
  </si>
  <si>
    <t>rot - kurze Proj.-weite, Brennweite</t>
  </si>
  <si>
    <t>Proj.-w.-Änderungsfaktor</t>
  </si>
  <si>
    <t>blau - größte Proj.-weite in die Formatecke</t>
  </si>
  <si>
    <t>Auftreffwinkel blaue Linie</t>
  </si>
  <si>
    <t>Helligkeit in Formatecke</t>
  </si>
  <si>
    <t>Die Standarten einer Studiokamera sind so verschoben, dass der Bildkreismittelpunkt</t>
  </si>
  <si>
    <t xml:space="preserve">auf der rechten oberen Ecke des 9 x 12 cm-Formats liegt. Wieviel Prozent der Bildfläche </t>
  </si>
  <si>
    <t xml:space="preserve">sind sichtbar verzeichnet, wenn eine Aufnahme mit einem Super-Angulon mit einem </t>
  </si>
  <si>
    <t>Bildwinkel von 105 Grad und einer Brennweite von 120 mm gemacht wird?</t>
  </si>
  <si>
    <t>Durchmesser der</t>
  </si>
  <si>
    <t>verzeichnungsfreien Zone</t>
  </si>
  <si>
    <t>Radius der vzf. Zone</t>
  </si>
  <si>
    <t>Kreisfläche vzf. Zone</t>
  </si>
  <si>
    <t>Viertel-Kreisfläche</t>
  </si>
  <si>
    <t>Filmformatfläche</t>
  </si>
  <si>
    <t>Anteil Verzeichnung</t>
  </si>
  <si>
    <t>Eine Negativ wird mit dem Vergrößerungsgerät auf Fotopapier im Format 24 mal 18 cm belichtet.</t>
  </si>
  <si>
    <t>Um die "stürzenden" Linien auszugleichen wird eine Seite des Fotopapiers um 20 cm angehoben.</t>
  </si>
  <si>
    <t>a) Welchen Winkel bildet das Papier mit dem Grundbrett?</t>
  </si>
  <si>
    <t>b) Wie lang ist die senkrechte Projektion der schrägen Fläche auf das Grundbrett?</t>
  </si>
  <si>
    <t>c) Wie muss die ursprüngliche Belichtungszeit von 8 Sekunden verändert werden, um die gleiche Schwärzung zu erhalten?</t>
  </si>
  <si>
    <t>verwendeter</t>
  </si>
  <si>
    <t>Potenzwert</t>
  </si>
  <si>
    <t>Natürlicher Randlichtabfall</t>
  </si>
  <si>
    <t>Welche Breite hat ein Lichtbündel bei schrägem Lichteinfall im Vergleich zu senkrechtem Lichteinfall?</t>
  </si>
  <si>
    <t>Wieviel Licht durchdringt eine kreisrunde Linse, wenn das Lichtbündel schräg auffällt?</t>
  </si>
  <si>
    <t>Erstellen Sie ein Diagramm, das den Helligkeitsabfall vom Bildkreismittelpunkt bis zum -rand</t>
  </si>
  <si>
    <t>für ein Objektiv mit 70° Bildwinkel zeigt.</t>
  </si>
  <si>
    <t>Einfallswinkel des Lichts in Grad</t>
  </si>
  <si>
    <t>Durchmesser der Linse in mm</t>
  </si>
  <si>
    <t>Linsenfläche bei senkrechtem Lichteinfall in mm²</t>
  </si>
  <si>
    <t>Lichtstrahlhöhe bei schrägem Lichteinfall in mm</t>
  </si>
  <si>
    <t>Ellipsenfläche</t>
  </si>
  <si>
    <t>Flächenverhältnis (Ellipse : Kreis)</t>
  </si>
  <si>
    <t>sin (90° - 25°) = X / Linsendurchmesser</t>
  </si>
  <si>
    <t>X = sin(90° - 25°) * Linsendurchmesser</t>
  </si>
  <si>
    <t>Ellipsenfläche = pi() * X/2 * Linsendurchmesser/2</t>
  </si>
  <si>
    <t xml:space="preserve">Berechnen Sie die Helligkeit eines Bildpunktes in der Formatecke im Vergleich zur </t>
  </si>
  <si>
    <t xml:space="preserve">Helligkeit im Bildzentrum (100%). Das Aufnahmeformat, die Brennweite und der </t>
  </si>
  <si>
    <t>Durchmesser der Linse (Eintrittspupille) sollen frei gewählt werden können</t>
  </si>
  <si>
    <t>Formatbreite in mm</t>
  </si>
  <si>
    <t>Formathöhe in mm</t>
  </si>
  <si>
    <t>Diagonale des Formats in mm</t>
  </si>
  <si>
    <t>Einfallswinkel in der Formatecke in Grad</t>
  </si>
  <si>
    <r>
      <t xml:space="preserve">tan(alpha) = halbe </t>
    </r>
    <r>
      <rPr>
        <sz val="10"/>
        <color indexed="10"/>
        <rFont val="Arial"/>
        <family val="2"/>
      </rPr>
      <t>Diagonale</t>
    </r>
    <r>
      <rPr>
        <sz val="10"/>
        <rFont val="Arial"/>
        <family val="2"/>
      </rPr>
      <t xml:space="preserve"> / </t>
    </r>
    <r>
      <rPr>
        <sz val="10"/>
        <color indexed="48"/>
        <rFont val="Arial"/>
        <family val="2"/>
      </rPr>
      <t>Brennweite</t>
    </r>
  </si>
  <si>
    <t>Berechnung der Diagonalenlänge mit Pythagoras</t>
  </si>
  <si>
    <t>Berechnung des Winkels mit grad() und arctan()</t>
  </si>
  <si>
    <r>
      <t xml:space="preserve">Ellipsenfläche = pi() * </t>
    </r>
    <r>
      <rPr>
        <sz val="10"/>
        <color indexed="57"/>
        <rFont val="Arial"/>
        <family val="2"/>
      </rPr>
      <t>a</t>
    </r>
    <r>
      <rPr>
        <sz val="10"/>
        <rFont val="Arial"/>
        <family val="2"/>
      </rPr>
      <t xml:space="preserve"> * </t>
    </r>
    <r>
      <rPr>
        <sz val="10"/>
        <color indexed="52"/>
        <rFont val="Arial"/>
        <family val="2"/>
      </rPr>
      <t>b</t>
    </r>
  </si>
  <si>
    <t xml:space="preserve">Wie groß ist der Lichtverlust in den Formatecken im Vergleich zur Bildmitte, </t>
  </si>
  <si>
    <t>wenn mit einem 80 mm-Objektiv auf das Bildformat 36 mm mal 24 mm fotografiert wird?</t>
  </si>
  <si>
    <t>Linsendurchmesser</t>
  </si>
  <si>
    <t>Formatdiagonale = Bildkreisdurchmesser</t>
  </si>
  <si>
    <t>Pythagoras c² = a² + b²</t>
  </si>
  <si>
    <t>Bestimmung des halben Projektionswinkels</t>
  </si>
  <si>
    <t>tan(winkel) = halber Bildkreisdurchmesser / Brennweite</t>
  </si>
  <si>
    <t>halber Projektionswinkel</t>
  </si>
  <si>
    <t>halber Bildwinkel = halber Projektionswinkel</t>
  </si>
  <si>
    <t xml:space="preserve">Der äußerste Lichtstrahl bildet mit dem senkrecht </t>
  </si>
  <si>
    <t>einfallenden Lichtstrahl einen Winkel von rund 15 Grad</t>
  </si>
  <si>
    <t>Berechnung der gestauchten Höhe der Ellipse</t>
  </si>
  <si>
    <t>Ergänzungswinkel (90° - halber Proj.-w.)</t>
  </si>
  <si>
    <t>Sin(Ergänzungswinkel) = gestauchte Höhe / Linsendurchmesser</t>
  </si>
  <si>
    <t>gestauchte Höhe = Linsendurchmesser * sin(Ergänzungswinkels)</t>
  </si>
  <si>
    <t>Bogenmaß des Ergänzungswinkels</t>
  </si>
  <si>
    <t>Sinus des Ergänzungswinkels</t>
  </si>
  <si>
    <t>Gestauchte Höhe der Ellipse</t>
  </si>
  <si>
    <t>Ellipsenfläche F = pi() * r1 * r2</t>
  </si>
  <si>
    <t>Kreisfläche     F = pi() * r * r</t>
  </si>
  <si>
    <t>Anteil Ellipsenfläche zur Kreisfläche</t>
  </si>
  <si>
    <t>Wieviel Mal geringer ist die Belichtung in der Bildecke des Kleinbildformats</t>
  </si>
  <si>
    <t>durch die natürliche Vignettierung als im Zentrum des Bildformats?</t>
  </si>
  <si>
    <t>Die Linsenhöhe soll 4 cm, die Brennweite 50 mm sein.</t>
  </si>
  <si>
    <t>Pythagoras</t>
  </si>
  <si>
    <t>halbe Formatdiagonale</t>
  </si>
  <si>
    <t>Tangens des Einfallswinkels</t>
  </si>
  <si>
    <t>Winkel mit Tangensfunktion berechnen</t>
  </si>
  <si>
    <t>Bogenmaß des Einfallswinkels</t>
  </si>
  <si>
    <t>Alpha</t>
  </si>
  <si>
    <t>Bogenmaß Alpha</t>
  </si>
  <si>
    <t>Sinus Alpha</t>
  </si>
  <si>
    <t>Ellipsenhöhe</t>
  </si>
  <si>
    <t>Ellipsenhöhe = Sinus Alpha mal Linsendurchmesser</t>
  </si>
  <si>
    <t>Ellipsenfläche (schräg)</t>
  </si>
  <si>
    <t>Kreisfläche (frontal)</t>
  </si>
  <si>
    <t>Ellipsenfläche/Kreisfläche</t>
  </si>
  <si>
    <t>Linsenhöhe</t>
  </si>
  <si>
    <t>Winkel 2 = 90° - Einfallswinkel</t>
  </si>
  <si>
    <t>Prozentwert</t>
  </si>
  <si>
    <t>entsprichht Maximalhelligkeit</t>
  </si>
  <si>
    <t>Lichtabfall im Bildkreis durch zunehmend elliptische Öffnung des Objektivs</t>
  </si>
  <si>
    <t>Lichtabfall im Bildkreis durch schrägen Lichteinfall (nach Cosinus-Gesetz)</t>
  </si>
  <si>
    <t>Natürlicher Lichtabfall im Bildkreis</t>
  </si>
  <si>
    <t>Unter natürlicher Vignettierung versteht man den Lichtabfall im Bildkreis zum</t>
  </si>
  <si>
    <t xml:space="preserve">Bildkreisrand hin. Zum einen wirken sich die unterschiedlichen Wegstrecken </t>
  </si>
  <si>
    <t>des Licht aus, zum anderen ist die Belichtungswirkung des Lichts umso</t>
  </si>
  <si>
    <t>geringer, je schräger das Licht auf die Oberfläche fällt.</t>
  </si>
  <si>
    <t>Ziel:</t>
  </si>
  <si>
    <t>Berechnung der verschiedenen, winkelabhängigen Lichtwege im Bildkreis.</t>
  </si>
  <si>
    <t>Berechnung der wirksamen Beleuchtung nach dem Lambert´schen Gesetz.</t>
  </si>
  <si>
    <t>Erstellung eines Diagramms, das die Helligkeitsverteilung im ganzen Bildkreis zeigt.</t>
  </si>
  <si>
    <t>Senkrechter Lichteinfall:</t>
  </si>
  <si>
    <t>Beleuchtungsstärke = Lichtstärke/(Strahlabstand)^2</t>
  </si>
  <si>
    <t>lx=cd/(m)^2</t>
  </si>
  <si>
    <t>Schräger Lichteinfall:</t>
  </si>
  <si>
    <t>Beleuchtungsstärke = Lichtstärke/(Strahlabstand)^2 * cos(E.-winkel)</t>
  </si>
  <si>
    <t>lx=cd/(m)^2*cos(phi)</t>
  </si>
  <si>
    <t>Abgestrahlte Lichtintensität in candela</t>
  </si>
  <si>
    <t>Einfallswinkel in Grad:</t>
  </si>
  <si>
    <t>Strahlabstand/Bildweite in mm:</t>
  </si>
  <si>
    <t>Zwischenwerte:</t>
  </si>
  <si>
    <t>Bildwinkel in Bogenmaß:</t>
  </si>
  <si>
    <t>Lichtweglänge in mm:</t>
  </si>
  <si>
    <t>Ergebnisse:</t>
  </si>
  <si>
    <t>Wirksame Beleuchtung:</t>
  </si>
  <si>
    <t>Restintensität in %:</t>
  </si>
  <si>
    <t>Daten für das Diagramm:</t>
  </si>
  <si>
    <t>Lichtweglänge:</t>
  </si>
  <si>
    <t>Die Scheimpflug'sche Regel sagt, dass sich Bildebene (Mattscheibe, Chip), Hauptebene des Objektivs und</t>
  </si>
  <si>
    <t>Schärfeebene (Motiv) immer in einer gemeinsamen Linie schneiden.</t>
  </si>
  <si>
    <t>Wie ändert sich die Lage der Bildebene in Grad, wenn die Schärfeebene um einen vorgegebenen Winkel</t>
  </si>
  <si>
    <t>aus der Parallellage zur Hauptebene geneigt oder geschwenkt wird ?</t>
  </si>
  <si>
    <t>Eine Großformat-Kamera mit einem Objektiv, das eine Brennweite von 180 mm hat,</t>
  </si>
  <si>
    <t>bildet in Grundeinstellung ein Objekt ab, das 3,1 Meter entfernt ist.</t>
  </si>
  <si>
    <t>Um welchen Winkel muss die Bildstandarte geneigt werden, wenn die Schärfeebene</t>
  </si>
  <si>
    <t>um 40 Grad geneigt werden soll?</t>
  </si>
  <si>
    <t>Neigung Schärfeebene</t>
  </si>
  <si>
    <t>Abstand Schnittline-OA   L</t>
  </si>
  <si>
    <t>L = a / tan(Neigungswinkel SCHE)</t>
  </si>
  <si>
    <t>Neigung Bildebene</t>
  </si>
  <si>
    <t>tan(Neigungswinkel BE) = a' / L</t>
  </si>
  <si>
    <t>Neigungswinkel BE = grad(arctan(a'/L))</t>
  </si>
  <si>
    <t>Ein Objektiv-Adapter für eine Digitalkamera kann um bis zu 8 Grad geneigt werden (Tilt).</t>
  </si>
  <si>
    <t xml:space="preserve">Um welchen Winkel wird die Schärfe-Ebene geneigt, wenn man bei gleicher Brennweite den </t>
  </si>
  <si>
    <t>Aufnahmeabstand verändert?</t>
  </si>
  <si>
    <t>Um welchen Winkel wird die Schärfe-Ebene geneigt, wenn man bei gleichem Aufnahmeabstand</t>
  </si>
  <si>
    <t>die Brennweite verändert?</t>
  </si>
  <si>
    <t>Neigung Bildebene/Hauptebene</t>
  </si>
  <si>
    <t>Aufnahmeabstand/Abstand Schärfeebene</t>
  </si>
  <si>
    <t>a / f</t>
  </si>
  <si>
    <t>1 / ((a/f) -1)</t>
  </si>
  <si>
    <t>((a/f) -1)</t>
  </si>
  <si>
    <t>Kehrwert V</t>
  </si>
  <si>
    <t>f + f * V</t>
  </si>
  <si>
    <t>Abstand Opt. Achse bis Ebenen-Schnittpunkt L</t>
  </si>
  <si>
    <t>L = a' / tan(Neigungswinkel BE)</t>
  </si>
  <si>
    <t>L = a / tan(Neigungswinkel SchE)</t>
  </si>
  <si>
    <t>tan(Neigungswinkel SchE) = a / L</t>
  </si>
  <si>
    <t>Neigungswinkel SchE = grad(arctan(a/L))</t>
  </si>
  <si>
    <t>Die Bildweite am oberen Ende der Mattscheibe einer Bildstandarte ist 32 cm,</t>
  </si>
  <si>
    <t>die Bildweite am unteren Ende der Mattscheibe einer Bildstandarte ist 25 cm,</t>
  </si>
  <si>
    <t>Der Abstand dieser Punkte zur Optischen Achse ist jeweils 5 cm.</t>
  </si>
  <si>
    <t>Die Brennweite des verwendeten Objektivs ist 210 mm.</t>
  </si>
  <si>
    <t>Welche Neigung hat die Schärfeebene (SchE)?</t>
  </si>
  <si>
    <t>Wo schneidet die Schärfeebene die Optische Achse (Aufnahmeabstand)?</t>
  </si>
  <si>
    <t>Bildweite 1</t>
  </si>
  <si>
    <t>Bildweite 2</t>
  </si>
  <si>
    <t>Höhe Bildweiten über OA</t>
  </si>
  <si>
    <t xml:space="preserve">Brennweite </t>
  </si>
  <si>
    <t>Bildweiten-Differenz</t>
  </si>
  <si>
    <t>Halbe Bildweitendifferenz</t>
  </si>
  <si>
    <t>Neigungswinkel Bildebene BE</t>
  </si>
  <si>
    <t>Tangens Neigungswinkel BE</t>
  </si>
  <si>
    <t>Neigungswinkel BE</t>
  </si>
  <si>
    <t>Bildweite auf OA</t>
  </si>
  <si>
    <t>Berechnung von L</t>
  </si>
  <si>
    <t>tan(Nw) = a' / L &gt;&gt;  L = a' / tan(Nw)</t>
  </si>
  <si>
    <t>Berechnung des Aufn.-abstands a</t>
  </si>
  <si>
    <t>Anzahl f in a'</t>
  </si>
  <si>
    <t>Brennweiten</t>
  </si>
  <si>
    <t>Aufnahmeabstand a</t>
  </si>
  <si>
    <t>Neigungswinkel Schärfeebene (SchE)</t>
  </si>
  <si>
    <t>Tangens Neigungswinkel SchE</t>
  </si>
  <si>
    <t>Neigungswinkel SchE</t>
  </si>
  <si>
    <t>Eine Person A steht in einem Abstand von 5 Metern 2 Meter rechts von der optischen Achse.</t>
  </si>
  <si>
    <t>Eine Person B steht in einem Abstand von 3 Metern 1 Meter links von der optischen Achse.</t>
  </si>
  <si>
    <t>Es wird ein Objektiv mit einer Brennweite von 150 mm verwendet.</t>
  </si>
  <si>
    <t>Wie groß ist der Schwenkwinkel der Schärfeebene, wenn beide Personen scharf abgebildet werden sollen?</t>
  </si>
  <si>
    <t>Wie groß ist der dazu passende Schwenkwinkel der Bildebene?</t>
  </si>
  <si>
    <t>Abstand Person A</t>
  </si>
  <si>
    <t>Abstand Person B</t>
  </si>
  <si>
    <t>Abstand A zu OA</t>
  </si>
  <si>
    <t>Abstand B zu OA</t>
  </si>
  <si>
    <t>Tangens Schwenkwinkel</t>
  </si>
  <si>
    <t>Rote Strecke</t>
  </si>
  <si>
    <t>Aufnahmeabstand auf der OA</t>
  </si>
  <si>
    <t>Brennweiten entspricht 1 f +</t>
  </si>
  <si>
    <t>Anzahl Brennweiten in der Bildweite a'</t>
  </si>
  <si>
    <t xml:space="preserve"> 1 / 23,4444</t>
  </si>
  <si>
    <t>Abstand OA-Schnittpunkt Schärfeebene L</t>
  </si>
  <si>
    <t>Tangens Schwenkwinkel Bildebene</t>
  </si>
  <si>
    <t>Schwenkwinkel Bildebene</t>
  </si>
  <si>
    <t>Wie groß ist die Maßstabsänderung, wenn der 12 cm hohe Planfilm um 15 Grad um eine mittig im Format</t>
  </si>
  <si>
    <t>liegende Achse geschwenkt wird, der Aufnahmeabstand 1,65 Meter und die Brennweite 150 mm ist?</t>
  </si>
  <si>
    <t>Wie lang wird ein Bildelement am Formatrand abgebildet, wenn es bei Grundeinstellung</t>
  </si>
  <si>
    <t>der Kamera im Bildkreis-Mittelpunkt 1 cm groß war?</t>
  </si>
  <si>
    <t>Schritt 1:</t>
  </si>
  <si>
    <t>Berechnung der Bildweitenänderung vom Drehpunkt bis zum Formataußenrand</t>
  </si>
  <si>
    <t>für verschiedene Abstände vom Drehpunkt.</t>
  </si>
  <si>
    <t>Schritt 2:</t>
  </si>
  <si>
    <t>Berechnung des Abbildungsmaßstabs für jeden Wert</t>
  </si>
  <si>
    <t>Schritt 3:</t>
  </si>
  <si>
    <t>Berechnung der Größenänderung eines 1 cm langen Bildelements</t>
  </si>
  <si>
    <t>Schritt 4:</t>
  </si>
  <si>
    <t>Erstellung eines Diagramms, das die Veränderung zeigt.</t>
  </si>
  <si>
    <t>Zuwachs Abstände vom Drehpunkt nach außen, in mm:</t>
  </si>
  <si>
    <t>Schwenkwinkel in Grad:</t>
  </si>
  <si>
    <t>Bildelement-Länge in der Bildkreismitte (mm):</t>
  </si>
  <si>
    <t>Abbildungsmaßstab  1 zu</t>
  </si>
  <si>
    <t>Bildweite in mm:</t>
  </si>
  <si>
    <t>Bildweiten-</t>
  </si>
  <si>
    <t>Vereinfachte Rechnung:</t>
  </si>
  <si>
    <t>Änderung</t>
  </si>
  <si>
    <t>Bildweiten</t>
  </si>
  <si>
    <t>Bildlänge in mm</t>
  </si>
  <si>
    <t>Zuwachs über Formatmitte, in mm:</t>
  </si>
  <si>
    <t>In der Formatmitte, in mm:</t>
  </si>
  <si>
    <t>Originalgröße</t>
  </si>
  <si>
    <t>Zuwachs unter Formatmitte, in mm:</t>
  </si>
  <si>
    <t xml:space="preserve">Welche Aufnahmeabstände liefern ein immer gleich großes Bild eines nahen Gegenstandes, </t>
  </si>
  <si>
    <t>wenn folgende Brennweiten verwendet werden: 20mm, 28mm, 50mm, 80mm und 200mm?</t>
  </si>
  <si>
    <t>Zeigen sie, dass das Bild zweier versetzt hintereinander stehender Gegenstände nicht identisch ist, wenn man den Bildausschnitt</t>
  </si>
  <si>
    <t>durch Änderung der Brennweite und</t>
  </si>
  <si>
    <t>durch Änderung des Aufnahmeabstandes realisiert.</t>
  </si>
  <si>
    <t>Zellen, die verändert werden dürfen</t>
  </si>
  <si>
    <t>Brennweite f Fall 1</t>
  </si>
  <si>
    <t>Brennweite f Fall 2</t>
  </si>
  <si>
    <t>Brennweite f Fall 3</t>
  </si>
  <si>
    <t>Brennweite f Fall 4</t>
  </si>
  <si>
    <t>Brennweite f Fall 5</t>
  </si>
  <si>
    <t>Bildhöhe y1</t>
  </si>
  <si>
    <t xml:space="preserve">Wenn man mit einer längeren Brennweite ein </t>
  </si>
  <si>
    <t>Gegenstandshöhe</t>
  </si>
  <si>
    <t xml:space="preserve">gleich großes Bild erzeugen will, dann muss der </t>
  </si>
  <si>
    <t xml:space="preserve">Aufnahmeabstand genauso viel mal größer </t>
  </si>
  <si>
    <t>werden wie die Brennweite größer gewählt wurde.</t>
  </si>
  <si>
    <t xml:space="preserve">oder </t>
  </si>
  <si>
    <t xml:space="preserve">Der Verlängerungsfaktor der Brennweite entspricht </t>
  </si>
  <si>
    <t>Aufnahmeabstand besteht aus 41 Brennweiten</t>
  </si>
  <si>
    <t>dem Verlängerungsfaktor des Aufnahmeabstandes.</t>
  </si>
  <si>
    <t>Aufnahmeabstand Fall 1</t>
  </si>
  <si>
    <t>Aufnahmeabstand Fall 2</t>
  </si>
  <si>
    <t>Aufnahmeabstand Fall 3</t>
  </si>
  <si>
    <t>Aufnahmeabstand Fall 4</t>
  </si>
  <si>
    <t>Aufnahmeabstand Fall 5</t>
  </si>
  <si>
    <t>Aufnahmeabstand zu Klotz 1</t>
  </si>
  <si>
    <t>Aufnahmeabstand zu Klotz 2</t>
  </si>
  <si>
    <t>Abstand der Gegenstände z</t>
  </si>
  <si>
    <t>Klotz 1</t>
  </si>
  <si>
    <t>f in a</t>
  </si>
  <si>
    <t>projizierte Bildgröße</t>
  </si>
  <si>
    <t>Klotz 2</t>
  </si>
  <si>
    <t>Verhältnis Klotz 1 und 2</t>
  </si>
  <si>
    <t>Verkleinerungsfaktor</t>
  </si>
  <si>
    <t>zu 1</t>
  </si>
  <si>
    <t>Brennweite verändert, Abstand unverändert!</t>
  </si>
  <si>
    <t>Fall 1</t>
  </si>
  <si>
    <t>Fall 2</t>
  </si>
  <si>
    <t>Fall 3</t>
  </si>
  <si>
    <t>Fall 4</t>
  </si>
  <si>
    <t>Fall 5</t>
  </si>
  <si>
    <t>Fall 6</t>
  </si>
  <si>
    <t>Fall 7</t>
  </si>
  <si>
    <t>Brennweite unverändert, Abstand verändert!</t>
  </si>
  <si>
    <t>Zuwachs für Gegenstandsweite:</t>
  </si>
  <si>
    <t>Gegenstand</t>
  </si>
  <si>
    <t>Gegenstandsbreite, mm</t>
  </si>
  <si>
    <t>Gegenstandshöhe, mm</t>
  </si>
  <si>
    <t>Gegenstandsweite, mm</t>
  </si>
  <si>
    <t>Brennweite, mm</t>
  </si>
  <si>
    <t>Abbildungsmaßstab, V= 1:</t>
  </si>
  <si>
    <t>Bildweite, mm</t>
  </si>
  <si>
    <t>Bildbreite, mm</t>
  </si>
  <si>
    <t>Bildhöhe, mm</t>
  </si>
  <si>
    <t>Lichtintensität</t>
  </si>
  <si>
    <t>Verlängerungsfaktor</t>
  </si>
  <si>
    <t>Abstand der beiden Gegenstände zueinander in mm:</t>
  </si>
  <si>
    <t>Proportion y1' : y2'</t>
  </si>
  <si>
    <t>Zuwachs für Brennweite:</t>
  </si>
  <si>
    <t>Welche Außenmaße hat das Bild, wenn ein vorgegebenes Format auf eine bestimmte Fläche vergrößert werden soll</t>
  </si>
  <si>
    <t>und dabei die vorgegebenen Proportionen des Negativs erhalten werden sollen?</t>
  </si>
  <si>
    <t>In gelben Feldern dürfen Eingaben gemacht werden.</t>
  </si>
  <si>
    <t>Positiv-Höhe</t>
  </si>
  <si>
    <t xml:space="preserve"> </t>
  </si>
  <si>
    <t>Die Werte in diesen drei Zeilen werden automatisch</t>
  </si>
  <si>
    <t>errechnet, wenn man unter Extras &gt; Zielwertsuche die Zielgröße</t>
  </si>
  <si>
    <t>und die Bedingungen definiert.</t>
  </si>
  <si>
    <t>Zielzelle =</t>
  </si>
  <si>
    <t>Zielwert =</t>
  </si>
  <si>
    <t>Veränderbare Zelle =</t>
  </si>
  <si>
    <t>1. Klicken Sie auf der Registerkarte Daten in der Gruppe Datentools auf Was-wäre-wenn-Analyse, und klicken Sie dann auf Zielwertsuche.</t>
  </si>
  <si>
    <t>HINWEIS :  Die von der Zielwertsuche geänderte Zelle muss ein Bezug für die Formel in der Zelle sein, die Sie im Feld Zielzelle angegeben haben.</t>
  </si>
  <si>
    <t>5. Klicken Sie auf OK. </t>
  </si>
  <si>
    <t xml:space="preserve"> =C270</t>
  </si>
  <si>
    <t>gewünschte Zahl eingeben</t>
  </si>
  <si>
    <t xml:space="preserve"> =C268</t>
  </si>
  <si>
    <t>Excel vor Version 2010</t>
  </si>
  <si>
    <r>
      <t xml:space="preserve">Positiv-Fläche, </t>
    </r>
    <r>
      <rPr>
        <b/>
        <sz val="10"/>
        <rFont val="Arial"/>
        <family val="2"/>
      </rPr>
      <t>Zielzelle</t>
    </r>
  </si>
  <si>
    <r>
      <t xml:space="preserve">Positiv-Breite, </t>
    </r>
    <r>
      <rPr>
        <b/>
        <sz val="10"/>
        <rFont val="Arial"/>
        <family val="2"/>
      </rPr>
      <t>veränderbare Zelle</t>
    </r>
  </si>
  <si>
    <t>Verwenden der Zielwertsuche zum Bestimmen der gesuchten Größe, hier Bildbreite</t>
  </si>
  <si>
    <t>Excel ab Version 2010</t>
  </si>
  <si>
    <t xml:space="preserve"> = Positiv-Breite * Negativhöhe/Negativbreite</t>
  </si>
  <si>
    <t xml:space="preserve"> = Positiv-Breite *  Positiv-Höhe</t>
  </si>
  <si>
    <t xml:space="preserve"> = Positiv-Breite / Negativ-Breite</t>
  </si>
  <si>
    <t>2. Geben Sie im Feld Zielzelle den Bezug für die Zelle ein, die die aufzulösende Formel enthält. Im Beispiel ist dieser Bezug Zelle C270 (enthält Flächenformel).</t>
  </si>
  <si>
    <t>3. Geben Sie im Feld Zielwert das gewünschte Formelergebnis ein (hier Fläche in cm²). Im Beispiel ist dies "6400".</t>
  </si>
  <si>
    <t>4. Geben Sie im Feld Veränderbare Zelle den Bezug für die Zelle ein, die den anzupassenden Wert enthält (Eingabezelle, Variable). Im Beispiel ist dieser Bezug Zelle C268.</t>
  </si>
  <si>
    <t>Aufgabe 1:</t>
  </si>
  <si>
    <t>Zwei gleich große Gegenstände, 120 cm, stehen im Abstand von 3 Metern versetzt hintereinander.</t>
  </si>
  <si>
    <t>Sie werden, bezogen auf den nahen Gegenstand, einmal aus 3 Metern Entfernung, ein anderes Mal aus 8 Metern Entfernung fotografiert</t>
  </si>
  <si>
    <t>Die Brennweite soll 80 mm groß sein. Zeigen Sie, dass der Größenunterschied der Bilder der Gegenstände bei geringem</t>
  </si>
  <si>
    <t>Aufnahmeabstand größer ist als bei großem Aufnahmeabstand.</t>
  </si>
  <si>
    <t>Gegenstand 1a</t>
  </si>
  <si>
    <t>Gegenstand 1b</t>
  </si>
  <si>
    <t>Gegenstand 2a</t>
  </si>
  <si>
    <t>Gegenstand 2b</t>
  </si>
  <si>
    <t>Aufnahmeabstand  in cm</t>
  </si>
  <si>
    <t>Abbildungsmaßstab     1 zu</t>
  </si>
  <si>
    <t>Verhältnis groß:klein</t>
  </si>
  <si>
    <t>Aufgabe 2:</t>
  </si>
  <si>
    <t>Sie werden aus einer Entfernung von 8 Metern fotografiert.</t>
  </si>
  <si>
    <t>Zeigen Sie, dass der Größenunterschied der Bilder der Gegenstände bei</t>
  </si>
  <si>
    <t>kurzer Brennweite und bei langer Brennweite praktisch gleich ist (80 mm und 200 mm).</t>
  </si>
  <si>
    <t>Das heißt, die Proportionen sind bei unterschiedlichen Brennweiten praktisch gleich.</t>
  </si>
  <si>
    <t>Zeigen Sie, dass das Bild zweier versetzt hintereinander stehender Gegenstände nicht identisch ist, wenn man den Bildausschnitt</t>
  </si>
  <si>
    <t>a) durch Änderung der Brennweite und b) durch Änderung des Aufnahmeabstandes so realisiert, dass der nahe Gegenstand gleich groß ist.</t>
  </si>
  <si>
    <t>Variation des Aufnahmeabstandes:</t>
  </si>
  <si>
    <t>entsprechende Variation der Brennweite bei d):</t>
  </si>
  <si>
    <t>d)</t>
  </si>
  <si>
    <t>Aufnahmeabstand 1 in mm:</t>
  </si>
  <si>
    <t>Abstand Gegenstand 2 von 1 in mm:</t>
  </si>
  <si>
    <t>Abstand Gegenstand 2 von 1</t>
  </si>
  <si>
    <t>Gegenstandshöhen in mm:</t>
  </si>
  <si>
    <t>Aufnahmeabstand 2 in mm:</t>
  </si>
  <si>
    <t>Zahl Brennweiten in a1:</t>
  </si>
  <si>
    <t>Zahl Brennweiten in a2:</t>
  </si>
  <si>
    <t>Bildweite 1:</t>
  </si>
  <si>
    <t>Bildweite 2:</t>
  </si>
  <si>
    <t>Abbildungsmaßstab 1:</t>
  </si>
  <si>
    <t xml:space="preserve"> 1 :  </t>
  </si>
  <si>
    <t>Abbildungsmaßstab 2:</t>
  </si>
  <si>
    <t>Bildhöhe 1 in mm:</t>
  </si>
  <si>
    <t>Bildhöhe 2 in mm:</t>
  </si>
  <si>
    <t>Faktor y1' zu y2':</t>
  </si>
  <si>
    <t>Ergebnis: Je größer der Aufnahmeabstand bei b) im Vergleich zu a) wird, umso mehr nähert sich der Größenunterschied dem Faktor 1, d. h. im Bild gleichen sich die Größen der beiden Gegenstände an.</t>
  </si>
  <si>
    <t>Ergebnis: Wenn man die Brennweite bei d) im gleichen Maß verkleinert wie der Aufnahmeabstand links größer wird, wird die Bildgröße des nahen Gegenstands in gleichem Maß kleiner wie bei Vergrößerung des Aufnahmeabstands. Der Größenunterschied zwischen nahem und fernem Gegenstand bleibt allerdings (fast) gleich.</t>
  </si>
  <si>
    <t xml:space="preserve">Problem:   </t>
  </si>
  <si>
    <t>Aufn.-abstand:</t>
  </si>
  <si>
    <t>GegW-Brennw.:</t>
  </si>
  <si>
    <t>wirksame Blende:</t>
  </si>
  <si>
    <t>weiteres Ziel:</t>
  </si>
  <si>
    <t>Es soll berechnet werden, wieviele Belichtungsstufen unterbelichtet wird, und</t>
  </si>
  <si>
    <t>ob die Sichtbarkeitsgrenze überschritten wird (1/3 Belichtungsstufe, 0,3333)</t>
  </si>
  <si>
    <t>Verlängerungsfaktor:</t>
  </si>
  <si>
    <t>Belichtungsstufen:</t>
  </si>
  <si>
    <t>Überschreitung?</t>
  </si>
  <si>
    <t>Es soll berechnet werden, welcher Abbildungsmaßstab vorliegt.</t>
  </si>
  <si>
    <t>Abbildungsmaßstab:</t>
  </si>
  <si>
    <t xml:space="preserve"> 1 :</t>
  </si>
  <si>
    <t xml:space="preserve">Die Belichtungsintensität des Films entspricht nur dann der am Objektiv eingestellten Blende, wenn die Bildweite der Brennweite entspricht. </t>
  </si>
  <si>
    <t>Dies ist aber nur bei Scharfstellung auf Unendlich der Fall. Bei geringeren Aufnahmeabständen ist die Bildweite größer</t>
  </si>
  <si>
    <t xml:space="preserve">Das Öffnungsverhältnis ist das Verhältnis von Durchmesser der Blendenöffnung zur Brennweite. Das Öffnungsverhältnis 1 : 8 entspricht also Blende 8. Die </t>
  </si>
  <si>
    <t>Blendenzahl ergibt sich aus dem Kehrwert des Öffnungsverhältnisses. 1 : 8 bedeutet, dass die Brennweite 8mal so groß ist wie der Blendendurchmesser.</t>
  </si>
  <si>
    <t>Abhängig von Brennweite, Aufnahmeabstand und eingestellter Blendenzahl soll für beliebige Aufnahmeabstände die wirksame Blende (das effektive Öffnungsverhältnis)</t>
  </si>
  <si>
    <t xml:space="preserve"> errechnet werden, bei der statt der Brennweite die tatsächliche Bildweite für die Berechnung herangezogen wird.</t>
  </si>
  <si>
    <t>Klassenarbeit</t>
  </si>
  <si>
    <t>Name:</t>
  </si>
  <si>
    <r>
      <t>Lösen Sie</t>
    </r>
    <r>
      <rPr>
        <b/>
        <sz val="10"/>
        <color indexed="10"/>
        <rFont val="Arial"/>
        <family val="2"/>
      </rPr>
      <t xml:space="preserve"> die Aufgaben</t>
    </r>
    <r>
      <rPr>
        <b/>
        <sz val="10"/>
        <rFont val="Arial"/>
        <family val="2"/>
      </rPr>
      <t xml:space="preserve"> 1 und 6. Zusätzlich die Aufgaben 2 oder 3 sowie 4 oder 5, insgesamt also 4 Aufgaben.</t>
    </r>
  </si>
  <si>
    <t>Kopieren Sie sich den Aufgabentext jeweils in ein neues, leeres Tabellenblatt und lösen Sie</t>
  </si>
  <si>
    <t>die Aufgaben jeweils unterhalb des Textes.</t>
  </si>
  <si>
    <t>Geben Sie den Lösungsblättern einen Namen nach folgendem Muster "IhrNachname_Aufgabe X" etc.,</t>
  </si>
  <si>
    <t>also beispielsweise "Kilian_Aufgabe 2".</t>
  </si>
  <si>
    <t>Achten Sie bitte auf vollständige Bezeichnung der Zellen, auf gute Gliederung und Kennzeichnung der Zellen, in</t>
  </si>
  <si>
    <t>die man Eingaben machen darf, und den Antwortsatz.</t>
  </si>
  <si>
    <t>Erstellen Sie für jede Aufgabe ein Berechnungsprogramm, mit dem man auch alle ähnlich gelagerte Fälle</t>
  </si>
  <si>
    <t>berechnen kann.</t>
  </si>
  <si>
    <t xml:space="preserve">Speichern Sie die Ergebnis-Datei mit dem Namen "IhrNachname_excelklausur.xls" dort ab, wo Sie auch </t>
  </si>
  <si>
    <t>die Aufgaben-Datei gefunden haben (Eigene Dateien/Wolfgang Kilian)</t>
  </si>
  <si>
    <t>Ich helfe Ihnen gerne, allerdings muss ich Ihnen in einer Klausur ein paar Punkte abziehen, was aber</t>
  </si>
  <si>
    <t>manchmal besser ist, als nicht weiter zu kommen.</t>
  </si>
  <si>
    <t>Welchen Blendendurchmesser muss der Objektivhersteller mechanisch einstellen, wenn sein Objektiv</t>
  </si>
  <si>
    <t xml:space="preserve">Aufgabe 1: </t>
  </si>
  <si>
    <t>Die Blendenzahl soll sich in ganzen Stufen ändern, die Brennweite soll in allen Spalten immer gleich sein.</t>
  </si>
  <si>
    <t>Die gelb unterlegten Zellen soll man verändern dürfen.</t>
  </si>
  <si>
    <t>Öffungsverhältnis, ÖV, dezimal</t>
  </si>
  <si>
    <t xml:space="preserve">entspricht ÖV     1: </t>
  </si>
  <si>
    <t>Blenden-Radius r in mm</t>
  </si>
  <si>
    <t>Blendendurchmesser d in mm</t>
  </si>
  <si>
    <t>Fläche Blendenöffnung in mm²</t>
  </si>
  <si>
    <t xml:space="preserve">Aufgabe 2: </t>
  </si>
  <si>
    <t>Erstellen Sie eine Blendenreihe, die bei Blende 32 beginnt und in Viertelstufen bis Blende 16 reicht.</t>
  </si>
  <si>
    <t>Anzeige der Blenden bitte mit 1 Nachkomma-Stelle.</t>
  </si>
  <si>
    <t>Faktor für Viertel-Blendenstufen</t>
  </si>
  <si>
    <t>Aufnahmeabstand a in mm</t>
  </si>
  <si>
    <t>Bildweite in mm</t>
  </si>
  <si>
    <t xml:space="preserve">Aufgabe 3: </t>
  </si>
  <si>
    <t>Berechnen Sie das effektive Öffnungsverhältnis eines Objektivs mit 80 mm Brennweite,</t>
  </si>
  <si>
    <t>d bei Blende 8 in mm</t>
  </si>
  <si>
    <t>das auf Blende 8 und einen Aufnahmeabstand von 1,2 Metern eingestellt ist.</t>
  </si>
  <si>
    <t>effektive Blende</t>
  </si>
  <si>
    <t>LÖSUNGEN:</t>
  </si>
  <si>
    <t>mit einer Brennweite von 80 mm einen Lichtdurchgang haben soll, der beispielsweise Blende 5,6 oder 8 entspricht?</t>
  </si>
  <si>
    <t>Aufgaben 4 bis 6 beziehen sich auf ein anderes Thema.</t>
  </si>
  <si>
    <t>JA</t>
  </si>
  <si>
    <t>Mit welchem Lichtverlust muss man rechnen, wenn die Bildweite größer ist als die Brennweite?</t>
  </si>
  <si>
    <t>Der Lichtabfall soll für verschiedene Aufnahmeabstände als Diagramm dargestellt werden.</t>
  </si>
  <si>
    <t>Abbildungsmaßstab 1 zu</t>
  </si>
  <si>
    <t>Belichtungskorrektur in Stufen</t>
  </si>
  <si>
    <t>Bei welcher Bildweite, bei welchem Abbildungsmaßstab, bei welchem Aufnahmeabstand</t>
  </si>
  <si>
    <t>entspricht der Lichtabfall einer 1/3 Belichtungsstufe oder einem anderen, beliebigen Wert?</t>
  </si>
  <si>
    <t>Zusätzliche Informationen zur Umrechnung von Belichtungsstufen in Faktoren</t>
  </si>
  <si>
    <t>Lichtabfall in Belichtungsstufen</t>
  </si>
  <si>
    <t>Belichtungsänderungsfaktor (Bkf)</t>
  </si>
  <si>
    <t>Lichtabfall-Faktor</t>
  </si>
  <si>
    <t>als Zweierpotenz (2 hoch Belichtungsstufen)</t>
  </si>
  <si>
    <t>Lichtintensität in %</t>
  </si>
  <si>
    <t xml:space="preserve">             Formelvarianten</t>
  </si>
  <si>
    <t>Gegenstandsweite in mm</t>
  </si>
  <si>
    <t>Belichtungsstufen als Umkehrung</t>
  </si>
  <si>
    <t>des Potenzierens log(Bkf)/log(2)</t>
  </si>
  <si>
    <t>Wie ändert sich die Belichtungsintensität, wenn der Aufnahmeabstand und die Bildweite sich ändern?</t>
  </si>
  <si>
    <t>Welche Belichtungskorrektur ist nötig? Zeitkorrekturfaktor, Blendenstufen?</t>
  </si>
  <si>
    <t>Bei welcher Gegenstandsweite, Bildweite, welchem Maßstab ist der Lichtverlust gerade sichtbar, also eine Drittel-Belichtungsstufe groß?</t>
  </si>
  <si>
    <t>Veränderungs-Faktor:</t>
  </si>
  <si>
    <t>Gegenstands-weite a in Brennweiten    1f + xf</t>
  </si>
  <si>
    <t>Bildweite a' in Brennweiten               1f + xf</t>
  </si>
  <si>
    <t>Abb.-maßstab,</t>
  </si>
  <si>
    <t>Belichtungs-</t>
  </si>
  <si>
    <t>Korrektur in</t>
  </si>
  <si>
    <t xml:space="preserve">    Verhältnis</t>
  </si>
  <si>
    <t>oder -breite</t>
  </si>
  <si>
    <t xml:space="preserve"> in %</t>
  </si>
  <si>
    <t>korrektur-</t>
  </si>
  <si>
    <t>faktor</t>
  </si>
  <si>
    <t>stufen</t>
  </si>
  <si>
    <t>Tangens(1/120 Grad) = halbe Pixelbreite / Betrachtungsabstand</t>
  </si>
  <si>
    <t>Betrachtungsabstand = halbe Pixelbreite / Tangens(1/120 Grad)</t>
  </si>
  <si>
    <t>Winkel &gt;&gt; Bogenmass &gt;&gt; Tangens</t>
  </si>
  <si>
    <t>Anzahl Pixel</t>
  </si>
  <si>
    <t>Auflösungsvermögen des Auges</t>
  </si>
  <si>
    <t>halbe Winkelminute, 1/120 Grad</t>
  </si>
  <si>
    <t>Pixelbreite</t>
  </si>
  <si>
    <t>halbe Pixelbreite</t>
  </si>
  <si>
    <t>tan = G / A</t>
  </si>
  <si>
    <t>A * tan = G</t>
  </si>
  <si>
    <t>Betrachtungsabstand</t>
  </si>
  <si>
    <t>A = G / tan</t>
  </si>
  <si>
    <t>Welchen Durchmesser darf ein Zerstreuungskreis bei einem Betrachtungsabstand</t>
  </si>
  <si>
    <t>von 30 cm haben, wenn Menschen zwei Punkte unterscheiden können, die mit einem</t>
  </si>
  <si>
    <t>Betrachtungswinkel von 1 Winkelminute (= 1/60 Grad) gesehen werden?</t>
  </si>
  <si>
    <t>Wie groß darf der Zerstreuungskreis auf einem Kleinbildnegativ sein, dessen</t>
  </si>
  <si>
    <t>Filmbreite 36 mm auf 30 cm Bildbreite vergrößert wird?</t>
  </si>
  <si>
    <t>Auflösungsvermögen Auge</t>
  </si>
  <si>
    <t>entspricht 1/60 Grad, 1 Winkelminute</t>
  </si>
  <si>
    <t>Halber Winkel</t>
  </si>
  <si>
    <t>Durchmesser Zerstreuungskreis</t>
  </si>
  <si>
    <t>Negativbreite</t>
  </si>
  <si>
    <t>Positivbreite</t>
  </si>
  <si>
    <t>Zerstreuungskreis-Durchm. Kleinbild</t>
  </si>
  <si>
    <t>entsprechend Verkleinerungsfaktor kleiner</t>
  </si>
  <si>
    <t xml:space="preserve">Wie groß (Durchmesser) muss die Öffnung einer Lochkamera sein, </t>
  </si>
  <si>
    <t xml:space="preserve">wenn das  Licht aus  einer Entfernung von 3 Metern unter einem </t>
  </si>
  <si>
    <t>Winkel von 2 Winkel- Minuten durch die Öffnung fallen soll?</t>
  </si>
  <si>
    <t>halber Öffnungswinkel des Lichtkegels</t>
  </si>
  <si>
    <t>1 Winkelminute</t>
  </si>
  <si>
    <t>Abstand</t>
  </si>
  <si>
    <t>Tangens des Winkels</t>
  </si>
  <si>
    <t>tan(alpha) = Gegenkathete / Ankathete</t>
  </si>
  <si>
    <t>Gegenkathete = tan(alpha) * Ankathete</t>
  </si>
  <si>
    <t>Durchmesser der Öffnung:</t>
  </si>
  <si>
    <t>Gegenkathete mal 2</t>
  </si>
  <si>
    <t>Ein Fernseher mit 46-Zoll-Bildschirmdiagonale und einem Seitenverhältnis von 16 zu 9  …</t>
  </si>
  <si>
    <t xml:space="preserve">Wer einen modernen Flachbild-Fernseher kauft, erhält eine horizontale Auflösung </t>
  </si>
  <si>
    <t>von 1920 Pixeln. Von welchem Betrachtungsabstand an kann man die Pixel</t>
  </si>
  <si>
    <t>nicht mehr sehen, wenn das Auge zwei Punkte noch unterscheiden kann,</t>
  </si>
  <si>
    <t>wenn sie unter einem Winkel von 1 Winkelminute (= 1/60 Grad)  oder größer gesehen werden?</t>
  </si>
  <si>
    <t>Faktor Bildbreite</t>
  </si>
  <si>
    <t>Faktor Bildhöhe</t>
  </si>
  <si>
    <t xml:space="preserve">Pythagoras:  Diagonale² = 16²  +  9² </t>
  </si>
  <si>
    <t>Faktor Diagonale</t>
  </si>
  <si>
    <t>Diagonale = wurzel(16² + 9²)</t>
  </si>
  <si>
    <t>Bilddiagonale</t>
  </si>
  <si>
    <t>Zoll, Inch</t>
  </si>
  <si>
    <t>1 Zoll =  1 Inch</t>
  </si>
  <si>
    <t>Berechnung des Zerstreuungskreis-Durchmessers:</t>
  </si>
  <si>
    <t>Wenn man den Blendendurchmesser d (Austrittspupille) und die Bildweite kennt, kann man den Winkel berechnen,</t>
  </si>
  <si>
    <t>unter dem das Licht auf einem Punkt fokussiert wird. Steht die Mattscheibe vor oder hinter dem Bildpunkt,</t>
  </si>
  <si>
    <t xml:space="preserve">entsteht statt des Bildpunktes ein Zerstreuungskreis. Dessen Größe läßt sich dann mit Hilfe der Abweichung </t>
  </si>
  <si>
    <t>von der Bild(-punkt-)weite und des halben Einfallswinkels berechnen (Tangensfunktion).</t>
  </si>
  <si>
    <t>Brennweite des Objektivs</t>
  </si>
  <si>
    <t>Abstand vor/hinter Bildpunkt in mm</t>
  </si>
  <si>
    <t>Der Abstand soll so gewählt werden, dass der gewünschte Zerstreuungskreis-Durchmesser, z. B. 0,03 mm, entsteht.</t>
  </si>
  <si>
    <t>Öffnungsverhältnis  1 :</t>
  </si>
  <si>
    <t>Blendendurchmesser im mm</t>
  </si>
  <si>
    <t>Blendenradius in mm</t>
  </si>
  <si>
    <t>Tangens halber Winkel Lichtkegel</t>
  </si>
  <si>
    <t>halber Winkel</t>
  </si>
  <si>
    <t>Zerstreuungskreis-Durchmesser</t>
  </si>
  <si>
    <t>Anteil des Zerstreuungskreisabstands a.d. Bildweite  1/</t>
  </si>
  <si>
    <t>Gegenstandsweite passend zur Bildweite</t>
  </si>
  <si>
    <t>Gegenstandsweite passend zur Bildweite + Abstand vor dem Bildpunkt</t>
  </si>
  <si>
    <t>Gegenstandsweite passend zur Bildweite + Abstand hinter dem Bildpunkt</t>
  </si>
  <si>
    <t>Schärfentiefe vor der Schärfeebene</t>
  </si>
  <si>
    <t>Schärfentiefe hinter der Schärfeebene</t>
  </si>
  <si>
    <t>Verhältnis der Zonenbreite vor und hinter der Schärfeebene</t>
  </si>
  <si>
    <t>Man erkennt, dass sich die Schärfentiefe im Motiv nicht gleichanteilig vor und hinter der Schärfeebene verteilt.</t>
  </si>
  <si>
    <t>1 mm Strecke vor der Bildebene ist mit einer größeren Strecke im Motivraum verbunden als 1 mm Strecke hinter der Bildebene!</t>
  </si>
  <si>
    <t>Berechnung der Blende für die gewünschte Schärfentiefe:</t>
  </si>
  <si>
    <t>entsteht statt des Bildpunktes ein Zerstreuungskreis, das Bild wird unscharf.</t>
  </si>
  <si>
    <t>Kennt man den zulässigen Zerstreuungskreis-Durchmesser, kann man für einen gegebenen Aufnahmeabstand und die damit</t>
  </si>
  <si>
    <t>verbundenen Bildweite sowie den gewünschten Nahpunkt der Schärfentiefezone den notwendigen Blendendurchmesser errechnen.</t>
  </si>
  <si>
    <t>Damit kann man in Verbindung mit der Brennweite die einzustellende Blendenzahl errechnen.</t>
  </si>
  <si>
    <t>Aufnahmeabstand (Schärfeebene)</t>
  </si>
  <si>
    <t>Abstand Schärfentiefe-Nahpunkt zur Schärfeebene</t>
  </si>
  <si>
    <t>Zulässiger Zerstreuungskreis-Durchmesser</t>
  </si>
  <si>
    <t>Bildweite passend zum Aufnahmeabstand</t>
  </si>
  <si>
    <t>Bildweite passend zum Nahpunkt der Schärfentiefezone</t>
  </si>
  <si>
    <t>Bildweitendifferenz</t>
  </si>
  <si>
    <t>halber Winkel in Grad</t>
  </si>
  <si>
    <t>Blendendurchmesser:</t>
  </si>
  <si>
    <t>effektive Blendenzahl</t>
  </si>
  <si>
    <t>nominelle Blendenzahl</t>
  </si>
  <si>
    <t>Nahpunkt der Schärfentiefezone</t>
  </si>
  <si>
    <t>Fernpunkt der Schärfentiefezone</t>
  </si>
  <si>
    <t>Gesamt-Schärfentiefe</t>
  </si>
  <si>
    <t>Schärfentiefe</t>
  </si>
  <si>
    <t>Nahpunkt</t>
  </si>
  <si>
    <t>Schärfetoleranz, mm</t>
  </si>
  <si>
    <t>Fernpunkt</t>
  </si>
  <si>
    <t>Schärfetoleranz</t>
  </si>
  <si>
    <t>Negative Werte entstehen beim Fernpunkt, wenn die hyperfokale Distanz kleiner ist als die eingestellte Aufnahmeentfernung (Schärfeebenen-Abstand)</t>
  </si>
  <si>
    <t>Das bedeutet immer, dass der Fernpunkt der Schärfentiefezone weiter als Unendlich entfernt wäre, was mathematisch zu negativen Werten führt.</t>
  </si>
  <si>
    <t>Nahpunkt, mm</t>
  </si>
  <si>
    <t>Fernpunkt, mm</t>
  </si>
  <si>
    <t>Zone, mm</t>
  </si>
  <si>
    <t>Zone vor Schärfeebene</t>
  </si>
  <si>
    <t>Gesamte Zone, mm</t>
  </si>
  <si>
    <t>Zone nach Schärfeebene</t>
  </si>
  <si>
    <t>Schärfeebene a</t>
  </si>
  <si>
    <t>av</t>
  </si>
  <si>
    <t>ah</t>
  </si>
  <si>
    <t>Zone</t>
  </si>
  <si>
    <t>Hier wurden verschiedene Formeln verwendet, die zum gleichen Ergebnis führen</t>
  </si>
  <si>
    <t>In den Formeln muss man mit Beträgen arbeiten [ Funktion abs() ]</t>
  </si>
  <si>
    <t xml:space="preserve">Zwei Personen stehen im Abstand von 4 Metern seitlich versetzt hintereinander </t>
  </si>
  <si>
    <t>und werden mit einem Objektiv, das eine Brennweite von 100 mm besitzt, fotografiert.</t>
  </si>
  <si>
    <t>Der Abstand der Fotografin zur nahe stehenden Person ist 7 Meter.</t>
  </si>
  <si>
    <t>Es wird mit einer Kleinbild-Kamera fotografiert.</t>
  </si>
  <si>
    <t xml:space="preserve">Mit welcher Blende muss fotografiert werden, wenn beide Personen scharf </t>
  </si>
  <si>
    <t>abgebildet sein sollen?</t>
  </si>
  <si>
    <t>Auf welche Distanz muss die Schärfe eingestellt werden?</t>
  </si>
  <si>
    <t>Formeln</t>
  </si>
  <si>
    <t>Hyperfokale Distanz = (Brennweite^2) / (Schärfetoleranz * Blendenzahl)</t>
  </si>
  <si>
    <t>Fernpunkt = (Hyp. Distanz * Gegenstandsweite) / (Hyp. Distanz + (Gegenstandsweite - Brennweite))</t>
  </si>
  <si>
    <t>Nahpunkt = (Hyp. Distanz * Gegenstandsweite) / (Hyp. Distanz - (Gegenstandsweite - Brennweite))</t>
  </si>
  <si>
    <t>Schärfentiefezone = (2 * Gegenstandsweite * (Gegenstandsweite - Brennweite) * Hyp. Distanz) / (Hyp. Distanz^2 - (Gegenstandsweite - Brennweite)^2)</t>
  </si>
  <si>
    <t>Blendenzahl = (Brennweite^2 * (Fernpunktabstand - Nahpunktabstand)) / (2 * Schärfetoleranz * Nahpunktabstand * Fernpunktabstand)</t>
  </si>
  <si>
    <t>Schärfeebenenabstand = (2 * Nahpunktabstand * Fernpunktabstand) / (Nahpunktabstand + Fernpunktabstand)</t>
  </si>
  <si>
    <t>Negative Werte entstehen bei der Fernpunkt-Berechnung, wenn die hyperfokale Distanz kleiner ist als die eingestellte</t>
  </si>
  <si>
    <t>Aufnahmeentfernung (Schärfeebenen-Abstand).</t>
  </si>
  <si>
    <t>Wenn negative Werte entstehen, ist das kein Fehler, sondern zeigt an, dass die Schärfentiefe weiter als Unendlich reicht.</t>
  </si>
  <si>
    <t>Man kann das abfangen, indem man die WENN-Funktion in den Zellen verwendet, die den Fernpunkt-Abstand errechnen:</t>
  </si>
  <si>
    <t>Wenn der Wert kleiner als 0 ist, dann schreibe Ersatzzahl für Unendlich (zB 9999999), sonst berechne den Wert</t>
  </si>
  <si>
    <t>Beispiel:       =wenn(A1&lt;0;9999999;B1*B2)</t>
  </si>
  <si>
    <t>Unschärfekreis u</t>
  </si>
  <si>
    <t>Schärfeebenenabstand</t>
  </si>
  <si>
    <t>Zwei Kameras mit unterschiedlich großen Aufnahmenformaten werden genutzt.</t>
  </si>
  <si>
    <t>An beiden Kameras befinden sich die "Normal-Objektive", also ein Objektiv</t>
  </si>
  <si>
    <t>mit 43 mm Brennweite in Verbindung mit dem Kleinbildformat und ein Objektiv</t>
  </si>
  <si>
    <t>mit 150 mm Brennweite in Verbindung mit einem 12 cm mal 9 cm großen Format (Diagonalen).</t>
  </si>
  <si>
    <t>Wie groß ist bei jeweils gleicher Blendenzahl die Schärfentiefe?</t>
  </si>
  <si>
    <t>Welche Blende müsste man beim kleineren Format einstellen, um die gleiche</t>
  </si>
  <si>
    <t>Schärfentiefe zu haben wie beim großen Format?</t>
  </si>
  <si>
    <t>Beide Kameras fotografieren den gleichen Bildausschnitt (formatfüllend) mit gleichem</t>
  </si>
  <si>
    <t>Aufnahmeabstand und damit gleichem Nahpunkt- und Fernpunktabstand der Schärfentiefegrenzen.</t>
  </si>
  <si>
    <t>Für ein größeres Bild benötigt man ein Objektiv mit entsprechend längerer Brennweite.</t>
  </si>
  <si>
    <t>Bildbreite &lt;&gt; lange Formatseite</t>
  </si>
  <si>
    <t>Schärfetoleranz/Unschärfekreis</t>
  </si>
  <si>
    <t>Nahpunktabstand</t>
  </si>
  <si>
    <t>Fernpunktabstand</t>
  </si>
  <si>
    <t>Ausdehnung Schärfentiefe</t>
  </si>
  <si>
    <t>Brennweiten-Verhältnis</t>
  </si>
  <si>
    <t>Blendenzahlen-Verhältnis</t>
  </si>
  <si>
    <t>Mit zwei Objektiven erhält man gleiche Schärfentiefe, wenn bei gleichem Aufnahmeabstand</t>
  </si>
  <si>
    <t>die Blendenzahl um den gleichen Faktor größer oder kleiner ist wie die Brennweite.</t>
  </si>
  <si>
    <t>Kleines Format</t>
  </si>
  <si>
    <t>Großes Format</t>
  </si>
  <si>
    <t>Hyperfokale Distanz</t>
  </si>
  <si>
    <t>entspricht 1/1500 der Formatdiagonalen</t>
  </si>
  <si>
    <t>Wert rechts ist proportional größer</t>
  </si>
  <si>
    <t>Ändern Sie die Werte in den farbig unterlegten Feldern und analysieren Sie die Folgen:</t>
  </si>
  <si>
    <t>Es ergeben sich mit 8 Bit insgesamt 256 Kombinationsmöglichkeiten  &gt;&gt;  2 hoch 8.</t>
  </si>
  <si>
    <t>Digitalisierung von Zahlenwerten:</t>
  </si>
  <si>
    <t xml:space="preserve"> 1 Byte = 8 Bit</t>
  </si>
  <si>
    <t>Bitte geben Sie im grünen Bereich für jedes Bit 1 oder 0 ein:</t>
  </si>
  <si>
    <t>Bits:</t>
  </si>
  <si>
    <t>Stelle:</t>
  </si>
  <si>
    <r>
      <t>2</t>
    </r>
    <r>
      <rPr>
        <b/>
        <vertAlign val="superscript"/>
        <sz val="12"/>
        <rFont val="Arial"/>
        <family val="2"/>
      </rPr>
      <t>7</t>
    </r>
  </si>
  <si>
    <r>
      <t>2</t>
    </r>
    <r>
      <rPr>
        <b/>
        <vertAlign val="superscript"/>
        <sz val="12"/>
        <rFont val="Arial"/>
        <family val="2"/>
      </rPr>
      <t>6</t>
    </r>
  </si>
  <si>
    <r>
      <t>2</t>
    </r>
    <r>
      <rPr>
        <b/>
        <vertAlign val="superscript"/>
        <sz val="12"/>
        <rFont val="Arial"/>
        <family val="2"/>
      </rPr>
      <t>5</t>
    </r>
  </si>
  <si>
    <r>
      <t>2</t>
    </r>
    <r>
      <rPr>
        <b/>
        <vertAlign val="superscript"/>
        <sz val="12"/>
        <rFont val="Arial"/>
        <family val="2"/>
      </rPr>
      <t>4</t>
    </r>
  </si>
  <si>
    <r>
      <t>2</t>
    </r>
    <r>
      <rPr>
        <b/>
        <vertAlign val="superscript"/>
        <sz val="12"/>
        <rFont val="Arial"/>
        <family val="2"/>
      </rPr>
      <t>3</t>
    </r>
  </si>
  <si>
    <r>
      <t>2</t>
    </r>
    <r>
      <rPr>
        <b/>
        <vertAlign val="superscript"/>
        <sz val="12"/>
        <rFont val="Arial"/>
        <family val="2"/>
      </rPr>
      <t>2</t>
    </r>
  </si>
  <si>
    <r>
      <t>2</t>
    </r>
    <r>
      <rPr>
        <b/>
        <vertAlign val="superscript"/>
        <sz val="12"/>
        <rFont val="Arial"/>
        <family val="2"/>
      </rPr>
      <t>1</t>
    </r>
  </si>
  <si>
    <r>
      <t>2</t>
    </r>
    <r>
      <rPr>
        <b/>
        <vertAlign val="superscript"/>
        <sz val="12"/>
        <rFont val="Arial"/>
        <family val="2"/>
      </rPr>
      <t>0</t>
    </r>
  </si>
  <si>
    <t>Wertigkeit:</t>
  </si>
  <si>
    <t>2^7</t>
  </si>
  <si>
    <t>2^6</t>
  </si>
  <si>
    <t>2^5</t>
  </si>
  <si>
    <t>2^4</t>
  </si>
  <si>
    <t>2^3</t>
  </si>
  <si>
    <t>2^2</t>
  </si>
  <si>
    <t>2^1</t>
  </si>
  <si>
    <t>2^0</t>
  </si>
  <si>
    <t>Wert:</t>
  </si>
  <si>
    <t>Summe:</t>
  </si>
  <si>
    <t>Bitmuster 1:</t>
  </si>
  <si>
    <t>Bitmuster 2:</t>
  </si>
  <si>
    <t>Dieser Zahlenwert entspricht</t>
  </si>
  <si>
    <t>Digitalisieren von Zeichenfolgen: http://www.f-f.lu/ascii/</t>
  </si>
  <si>
    <t>Mit Restwert-Methode:</t>
  </si>
  <si>
    <t>ASCII</t>
  </si>
  <si>
    <t>Zeichen</t>
  </si>
  <si>
    <t>digital 7 Bit</t>
  </si>
  <si>
    <t>Zeichen:</t>
  </si>
  <si>
    <t>k</t>
  </si>
  <si>
    <t>ASCII-Wert:</t>
  </si>
  <si>
    <t>!</t>
  </si>
  <si>
    <t>0100001</t>
  </si>
  <si>
    <t>,</t>
  </si>
  <si>
    <t>00101100</t>
  </si>
  <si>
    <t>dividiert /2</t>
  </si>
  <si>
    <t>.</t>
  </si>
  <si>
    <t>00101110</t>
  </si>
  <si>
    <t>Aus der Tabelle links ergibt sich der</t>
  </si>
  <si>
    <t>ASCII-Wert</t>
  </si>
  <si>
    <t>Rest:</t>
  </si>
  <si>
    <t>@</t>
  </si>
  <si>
    <t>Bit-Muster</t>
  </si>
  <si>
    <t>00110000</t>
  </si>
  <si>
    <t>00110001</t>
  </si>
  <si>
    <t>00110010</t>
  </si>
  <si>
    <t>00110011</t>
  </si>
  <si>
    <t>00110100</t>
  </si>
  <si>
    <t>00110101</t>
  </si>
  <si>
    <t>00110110</t>
  </si>
  <si>
    <t>00110111</t>
  </si>
  <si>
    <t>00111000</t>
  </si>
  <si>
    <t>00111001</t>
  </si>
  <si>
    <t>01000001</t>
  </si>
  <si>
    <t>B</t>
  </si>
  <si>
    <t>01000010</t>
  </si>
  <si>
    <t>C</t>
  </si>
  <si>
    <t>01000011</t>
  </si>
  <si>
    <t>D</t>
  </si>
  <si>
    <t>01000100</t>
  </si>
  <si>
    <t>E</t>
  </si>
  <si>
    <t>01000101</t>
  </si>
  <si>
    <t>F</t>
  </si>
  <si>
    <t>01000110</t>
  </si>
  <si>
    <t>01000111</t>
  </si>
  <si>
    <t>01001000</t>
  </si>
  <si>
    <t>I</t>
  </si>
  <si>
    <t>01001001</t>
  </si>
  <si>
    <t>J</t>
  </si>
  <si>
    <t>01001010</t>
  </si>
  <si>
    <t>K</t>
  </si>
  <si>
    <t>01001011</t>
  </si>
  <si>
    <t>L</t>
  </si>
  <si>
    <t>01001100</t>
  </si>
  <si>
    <t>01001101</t>
  </si>
  <si>
    <t>N</t>
  </si>
  <si>
    <t>01001110</t>
  </si>
  <si>
    <t>O</t>
  </si>
  <si>
    <t>01001111</t>
  </si>
  <si>
    <t>P</t>
  </si>
  <si>
    <t>01010000</t>
  </si>
  <si>
    <t>Q</t>
  </si>
  <si>
    <t>01010001</t>
  </si>
  <si>
    <t>R</t>
  </si>
  <si>
    <t>01010010</t>
  </si>
  <si>
    <t>S</t>
  </si>
  <si>
    <t>01010011</t>
  </si>
  <si>
    <t>T</t>
  </si>
  <si>
    <t>01010100</t>
  </si>
  <si>
    <t>U</t>
  </si>
  <si>
    <t>01010101</t>
  </si>
  <si>
    <t>01010110</t>
  </si>
  <si>
    <t>W</t>
  </si>
  <si>
    <t>01010111</t>
  </si>
  <si>
    <t>01011000</t>
  </si>
  <si>
    <t>Y</t>
  </si>
  <si>
    <t>01011001</t>
  </si>
  <si>
    <t>Z</t>
  </si>
  <si>
    <t>01011010</t>
  </si>
  <si>
    <t>01100001</t>
  </si>
  <si>
    <t>01100010</t>
  </si>
  <si>
    <t>01100011</t>
  </si>
  <si>
    <t>d</t>
  </si>
  <si>
    <t>01100100</t>
  </si>
  <si>
    <t>e</t>
  </si>
  <si>
    <t>01100101</t>
  </si>
  <si>
    <t>01100110</t>
  </si>
  <si>
    <t>01100111</t>
  </si>
  <si>
    <t>h</t>
  </si>
  <si>
    <t>01101000</t>
  </si>
  <si>
    <t>i</t>
  </si>
  <si>
    <t>01101001</t>
  </si>
  <si>
    <t>j</t>
  </si>
  <si>
    <t>01101010</t>
  </si>
  <si>
    <t>01101011</t>
  </si>
  <si>
    <t>l</t>
  </si>
  <si>
    <t>01101100</t>
  </si>
  <si>
    <t>01101101</t>
  </si>
  <si>
    <t>n</t>
  </si>
  <si>
    <t>01101110</t>
  </si>
  <si>
    <t>o</t>
  </si>
  <si>
    <t>01101111</t>
  </si>
  <si>
    <t>p</t>
  </si>
  <si>
    <t>01110000</t>
  </si>
  <si>
    <t>q</t>
  </si>
  <si>
    <t>01110001</t>
  </si>
  <si>
    <t>r</t>
  </si>
  <si>
    <t>01110010</t>
  </si>
  <si>
    <t>01110011</t>
  </si>
  <si>
    <t>t</t>
  </si>
  <si>
    <t>01110100</t>
  </si>
  <si>
    <t>u</t>
  </si>
  <si>
    <t>01110101</t>
  </si>
  <si>
    <t>v</t>
  </si>
  <si>
    <t>01110110</t>
  </si>
  <si>
    <t>w</t>
  </si>
  <si>
    <t>01110111</t>
  </si>
  <si>
    <t>x</t>
  </si>
  <si>
    <t>01111000</t>
  </si>
  <si>
    <t>01111001</t>
  </si>
  <si>
    <t>z</t>
  </si>
  <si>
    <t>01111010</t>
  </si>
  <si>
    <t>http://www.torsten-horn.de/techdocs/ascii.htm</t>
  </si>
  <si>
    <t xml:space="preserve">Sensor-Messwert </t>
  </si>
  <si>
    <t>Volt</t>
  </si>
  <si>
    <t>Grün</t>
  </si>
  <si>
    <t>Spannungswert für Schwarz (min.)</t>
  </si>
  <si>
    <t>Spannungswert für Weiß (max.)</t>
  </si>
  <si>
    <t>Helligkeits-/Farbtiefe</t>
  </si>
  <si>
    <t>Bit</t>
  </si>
  <si>
    <t>Anzahl Helligkeitsstufen</t>
  </si>
  <si>
    <t>2 hoch Helligkeits-/Farbtiefe</t>
  </si>
  <si>
    <t>Spannungsbereich S-W</t>
  </si>
  <si>
    <t>max. Spannung minus min. Spannung</t>
  </si>
  <si>
    <t>Spannungszuwachs für 1 Stufe</t>
  </si>
  <si>
    <t>Spannungsbereich durch Anzahl Helligkeitsstufen</t>
  </si>
  <si>
    <t xml:space="preserve"> =ABRUNDEN(E3;0)</t>
  </si>
  <si>
    <t>Helligkeitsstufe für Sensor-Messwert</t>
  </si>
  <si>
    <t>Wert muss digitalisiert werden</t>
  </si>
  <si>
    <t xml:space="preserve"> =WENN(REST(F3;2)=0;0;1)</t>
  </si>
  <si>
    <r>
      <t>Digitalisierung</t>
    </r>
    <r>
      <rPr>
        <sz val="10"/>
        <rFont val="Arial"/>
        <family val="2"/>
      </rPr>
      <t xml:space="preserve"> (horizontale Anordung)</t>
    </r>
  </si>
  <si>
    <t>Bit 8</t>
  </si>
  <si>
    <t>Bit 7</t>
  </si>
  <si>
    <t>Bit 6</t>
  </si>
  <si>
    <t>Bit 5</t>
  </si>
  <si>
    <t>Bit 4</t>
  </si>
  <si>
    <t>Bit 3</t>
  </si>
  <si>
    <t>Bit 2</t>
  </si>
  <si>
    <t>Bit 1</t>
  </si>
  <si>
    <t>Wert</t>
  </si>
  <si>
    <t xml:space="preserve"> /2</t>
  </si>
  <si>
    <t>Rest</t>
  </si>
  <si>
    <t>Bit-Wert</t>
  </si>
  <si>
    <t>2er-Potenz</t>
  </si>
  <si>
    <t>Summe</t>
  </si>
  <si>
    <t>Bit-Muster Byte 1 / Farbton 1</t>
  </si>
  <si>
    <r>
      <t xml:space="preserve">Digitalisierung </t>
    </r>
    <r>
      <rPr>
        <sz val="10"/>
        <rFont val="Arial"/>
        <family val="2"/>
      </rPr>
      <t>(vertikale Anordung)</t>
    </r>
  </si>
  <si>
    <t>4 Umgebungsmesswerte</t>
  </si>
  <si>
    <t>Blau</t>
  </si>
  <si>
    <t>Rot</t>
  </si>
  <si>
    <t>Mittelwerte</t>
  </si>
  <si>
    <t>Digitalisierung</t>
  </si>
  <si>
    <t>Bit-Muster Byte 2 / Farbton 2</t>
  </si>
  <si>
    <t>Bit-Muster Byte 3 / Farbton 3</t>
  </si>
  <si>
    <t>Vollständiger RGB-Datensatz für 1 Pixel:</t>
  </si>
  <si>
    <t xml:space="preserve">  =WENN(ISTFEHLER(SVERWEIS(Ausgangswert;Tabellenbereich;Spalte;0));"";SVERWEIS(Ausgangswert;Tabellenbereich;Spalte;0))</t>
  </si>
  <si>
    <t>Nutzung Funktion sverweis mit Fehler-Behandlung</t>
  </si>
  <si>
    <t>0.</t>
  </si>
  <si>
    <t>Interpolation der fehlenden Werte aus Umgebungswerten</t>
  </si>
  <si>
    <t xml:space="preserve">Allen Zeichen der Tastatur (Buchstaben, Zahlen, Satzzeichen) ist ein Zahlenwert </t>
  </si>
  <si>
    <t>bei einem Soundbearbeitungsprogramm Lautstärkestufen, denen Zahlen zwischen 0 und 255 zugeordnet sind.</t>
  </si>
  <si>
    <t>zwischen  0 und 255 (8 Bit) zugeordnet. Bei einem Bildbearbeitungsprogramm sind es Helligkeitsstufen,</t>
  </si>
  <si>
    <t>Jede Zahl wird mit 8 Bit digitalisiert, also in ein 8-stelliges Muster übersetzt.</t>
  </si>
  <si>
    <t>Jedes Zeichen, jede Helligkeitsstufe oder Lautstärkestufe wird durch 1 Byte repräsentiert, dessen 8 Bit sich voneinander unterscheiden.</t>
  </si>
  <si>
    <t>Wertigkeit als Potenz:</t>
  </si>
  <si>
    <t>Wertigkeit als Zahl:</t>
  </si>
  <si>
    <t>Prinzip:</t>
  </si>
  <si>
    <t>Die Zahl wird durch Addition der passenden Potenzen/Wertigkeiten erzeugt:</t>
  </si>
  <si>
    <t>Zahl:</t>
  </si>
  <si>
    <t xml:space="preserve">  Die folgenden Berechnungsmodelle erleichtern das Umwandeln von Zeichen in ein Bit-Muster</t>
  </si>
  <si>
    <t>Bitte geben Sie ein Zeichen aus der mittleren</t>
  </si>
  <si>
    <t>Spalte P der Tabelle rechts ein (Zahl, Buchstabe):</t>
  </si>
  <si>
    <t xml:space="preserve">  Das Verfahren oben hat viel Platz benötigt, deshalb hier ein kürzeres Verfahren:</t>
  </si>
  <si>
    <t>Zinszahlung</t>
  </si>
  <si>
    <t>Zinssatz je Jahr:</t>
  </si>
  <si>
    <t>in Periode Nr.</t>
  </si>
  <si>
    <t>Zinssatz je Monat:</t>
  </si>
  <si>
    <t>mtl. Zins:</t>
  </si>
  <si>
    <t>Zahlungsperioden insgesamt:</t>
  </si>
  <si>
    <t>Restwert:</t>
  </si>
  <si>
    <t>Endwert Darlehen:</t>
  </si>
  <si>
    <t>Zahlung jeweils am Ende (0) der Periode:</t>
  </si>
  <si>
    <t>Konstanter Zahlungsbetrag:</t>
  </si>
  <si>
    <t>April</t>
  </si>
  <si>
    <t>Mai</t>
  </si>
  <si>
    <t>Juni</t>
  </si>
  <si>
    <t>Juli</t>
  </si>
  <si>
    <t>August</t>
  </si>
  <si>
    <t>September</t>
  </si>
  <si>
    <t>Oktober</t>
  </si>
  <si>
    <t>November</t>
  </si>
  <si>
    <t>Dezember</t>
  </si>
  <si>
    <t>Januar</t>
  </si>
  <si>
    <t>Februar</t>
  </si>
  <si>
    <t>März</t>
  </si>
  <si>
    <t>Konstante Zahlung:</t>
  </si>
  <si>
    <t>Gesamtsumme incl. Zins:</t>
  </si>
  <si>
    <t>Tatsächlich geleistete Zahlungen:</t>
  </si>
  <si>
    <t>Noch offen:</t>
  </si>
  <si>
    <t>Excel passt den Zeilenbezug an, wenn eine Zelle in eine andere Zeile kopiert wird.</t>
  </si>
  <si>
    <t>Excel passt den Spaltenbezug an, wenn eine Zelle in eine andere Spalte kopiert wird.</t>
  </si>
  <si>
    <t>Sparen mit Zinseszins</t>
  </si>
  <si>
    <t>Ein Guthaben wird jedes Jahr mit 4 % verzinst.</t>
  </si>
  <si>
    <t>Sparen mit Zins auf den Ausgangswert</t>
  </si>
  <si>
    <t>Wieviel Euro betragen die Zinsen für 35000,- Euro vom 28. März bis 4. August eines Jahres?</t>
  </si>
  <si>
    <t>Eine Hypothek in Höhe von 14500,- Euro wird am 1.03. eines Jahres aufgenommen. Sie wird mit 5% verzinst und mit 1% getilgt. Welcher</t>
  </si>
  <si>
    <t xml:space="preserve">Ein säumiger Schuldner überwies für die Zeit vom 25.07. bis 31.12. bei  4% 15,50 Euro Verzugszinsen. Von </t>
  </si>
  <si>
    <t>welchem Rechnungsbetrag wurden die Zinsen berechnet?</t>
  </si>
  <si>
    <t>Ein Kredit in Höhe von 1200,- Euro wurde am 16.07. eingeräumt und nach einem Vierteljahr einschließlich Zinsen mit</t>
  </si>
  <si>
    <t>1219,50 Euro zurückgezahlt. Berechnen Sie den Zinssatz.</t>
  </si>
  <si>
    <t>Berechnen Sie das Bankguthaben am 30.06. bei 2% Habenzinsen und folgenden Gutschriften:</t>
  </si>
  <si>
    <t>2400,- Euro eingezahlt am 15.02.; 380,- Euro am 25.04.; 1000,- Euro am 10.05. und 560,- Euro am 5.06.</t>
  </si>
  <si>
    <t>Wie hoch ist der Zinssatz, wenn man für einen Kredit in Höhe von 8000,- Euro vier Jahre lang monatlich 200,- Euro bezahlt (Funktion ZINS)</t>
  </si>
  <si>
    <t>Welchen Betrag spart man an, wenn man bei 6% Zinsen 1000,- Euro einzahlt und dann während der nächsten 12 Monate am Anfang</t>
  </si>
  <si>
    <t>jeden Monats 100,- Euro einzahlt? (Funktion ZW, Zukunftswert)</t>
  </si>
  <si>
    <t>Wie lange muss ein Kredit in Höhe von 10000,- Euro abbezahlt werden, wenn jährlich 12% Zinsen bezahlt</t>
  </si>
  <si>
    <t>werden müssen und die monatliche Rückzahlungsrate 100,- Euro beträgt? (Funktion ZZR, Zahlungsperioden)</t>
  </si>
  <si>
    <t>Rentenzahlung in Höhe von 500,- monatlich über die nächsten 20 Jahre zukommen lassen.</t>
  </si>
  <si>
    <t>Überprüfen Sie die Zahlen in folgendem Artikel:</t>
  </si>
  <si>
    <t>Welche Zinsen muss man für 35000,- Euro bei einem Zinssatz von 3,5% in 17 Tagen bezahlen?</t>
  </si>
  <si>
    <t>Kredit</t>
  </si>
  <si>
    <t>€</t>
  </si>
  <si>
    <t>Zeitraum</t>
  </si>
  <si>
    <t>Tage</t>
  </si>
  <si>
    <t>Zinstage im Jahr</t>
  </si>
  <si>
    <t>Zinsen</t>
  </si>
  <si>
    <t>Guthaben</t>
  </si>
  <si>
    <t>1. Tag</t>
  </si>
  <si>
    <t>Letzter Tag</t>
  </si>
  <si>
    <t>Funktion Datedif() verwenden. Achtung: 1. Tag wird nicht mitgezählt &gt;&gt; Formel angepasst.</t>
  </si>
  <si>
    <t>Rechnungsbetrag</t>
  </si>
  <si>
    <t>Zinsen = Betrag *   %-Satz * Zeitraum</t>
  </si>
  <si>
    <t>Der Zinssatz wird immer für 1 Kalenderjahr = 360 Banktage angegeben</t>
  </si>
  <si>
    <t>Einzahlung/Guthaben</t>
  </si>
  <si>
    <t>Gesamtguthaben</t>
  </si>
  <si>
    <t>Einzahlung</t>
  </si>
  <si>
    <t>Laufzeit</t>
  </si>
  <si>
    <t>Jahre</t>
  </si>
  <si>
    <t>Betrag ist erstmalig am 1.09. für Zinsen und Tilgung fällig?</t>
  </si>
  <si>
    <t>Tilgung</t>
  </si>
  <si>
    <t>Zinssatz (Jahr)</t>
  </si>
  <si>
    <t>Verrechnungsperioden im Jahr</t>
  </si>
  <si>
    <t>Zinssatz pro Periode</t>
  </si>
  <si>
    <t>Ein Guthaben in Höhe von 14500,- Euro wird am 1.03. eines Jahres eingezahlt. Es wird mit 5% verzinst.</t>
  </si>
  <si>
    <t>a) Welcher Betrag ist am 1.09. fällig, wenn monatlich verzinst wird? b) Wieviel wenn nur einmal jährlich verzinst wird?</t>
  </si>
  <si>
    <t>Endkapital</t>
  </si>
  <si>
    <t>Zinseszins-Formel: Endkapital = Anfangskapital *  (1 + Zinssatz einer Periode) hoch Periodenzahl</t>
  </si>
  <si>
    <t>Monat</t>
  </si>
  <si>
    <t>Schulden Vormonat</t>
  </si>
  <si>
    <t>Rate Monatsende</t>
  </si>
  <si>
    <t>Schulden Monatsende</t>
  </si>
  <si>
    <t>Tilgungsplan</t>
  </si>
  <si>
    <t>Summen:</t>
  </si>
  <si>
    <t>anfänglicher Tilgungssatz</t>
  </si>
  <si>
    <t>Monate</t>
  </si>
  <si>
    <t>Zinssatz pro Monat</t>
  </si>
  <si>
    <t>Regelmäßige Zahlung</t>
  </si>
  <si>
    <t>Kredit, Barwert</t>
  </si>
  <si>
    <t>Funktion Regelmäßige Zahlung:   =RMZ(Zinssatz je Periode;Perioden;Barwert;Endwert;0|1)</t>
  </si>
  <si>
    <t>Welche monatliche Rate muss man zahlen, wenn man 50.000,- Euro Kredit aufnimmt und diesen</t>
  </si>
  <si>
    <t>bei einem jährlichen Zinssatz von 4 % in 5 Jahren und 3 Monaten tilgen muss? (Funktion RMZ, Regelmässige Zahlung)</t>
  </si>
  <si>
    <t>Funktion ZINS:  =Zins(Perioden;regelmäßige mtl. Zahlung;Barwert;Zielwert;Fälligkeit;Schätzwert)</t>
  </si>
  <si>
    <t>Zielwert, Endwert</t>
  </si>
  <si>
    <t>Perioden, Laufzeit</t>
  </si>
  <si>
    <t>Fälligkeit</t>
  </si>
  <si>
    <t>0 (Null, oder nicht angegeben) bedeutet, die Zahlung ist am Ende, 1 bedeutet, die Zahlung ist zu Beginn der Periode fällig.</t>
  </si>
  <si>
    <t xml:space="preserve">        0 (Null, oder nicht angegeben) bedeutet, die Zahlung ist am Ende, 1 bedeutet, die Zahlung ist zu Beginn der Periode fällig.</t>
  </si>
  <si>
    <t>Geschätzter Zins</t>
  </si>
  <si>
    <t>monatlicher Zinssatz</t>
  </si>
  <si>
    <t>jährlicher Zinssatz</t>
  </si>
  <si>
    <t>formatiert als %-Wert</t>
  </si>
  <si>
    <t>9,05/100</t>
  </si>
  <si>
    <t xml:space="preserve">Wenn kein Schätzwert angegeben wird, so wird der Wert 10% vorrausgesetzt. </t>
  </si>
  <si>
    <t>Funktion Zw:   =Zw(Zins;Zzr;RMZ;Bw;F)</t>
  </si>
  <si>
    <t>Zins ist der Zinssatz pro Periode. </t>
  </si>
  <si>
    <t>Zzr ist die Anzahl der Perioden. </t>
  </si>
  <si>
    <t>RMZ ist die konstante monatliche Zahlung. </t>
  </si>
  <si>
    <t>Bw ist der aktuelle Barwert (Startwert wie zum Beispiel Kreditbetrag). </t>
  </si>
  <si>
    <t>F ist die Fälligkeit einer Rate.</t>
  </si>
  <si>
    <t>Regelmäßige Zahlung (Vorzeichen!)</t>
  </si>
  <si>
    <t xml:space="preserve">Wie hoch ist die Restschuld, wenn das Unternehmen ein Annuitätendarlehen über 100.000,- € aufnimmt und bei </t>
  </si>
  <si>
    <t>einem Zinssatz von 9,05 % über 72 Monate an jedem Monatsanfang 2.000,- € zurückzahlt . </t>
  </si>
  <si>
    <t>Einzahlung, Barwert</t>
  </si>
  <si>
    <t xml:space="preserve">Geldbeträge, die ausgezahlt werden (zum Beispiel Spareinlagen), werden durch negative Zahlen </t>
  </si>
  <si>
    <t>und Geldbeträge, die eingenommen werden (zum Beispiel Dividenden), durch positive Zahlen dargestellt.</t>
  </si>
  <si>
    <t xml:space="preserve">Funktion Zzr:   =Zzr(Zins;RMZ;Bw;Zw;F) </t>
  </si>
  <si>
    <t>Zw ist der Zielwert, welcher nach Ablauf der Perioden erreicht werden soll. </t>
  </si>
  <si>
    <t>Regelmäßige mtl. Zahlung (Vorzeichen!)</t>
  </si>
  <si>
    <t>RMZ muss bei Rück-, Auszahlungen negativ sein und bei Einzahlungen positiv.</t>
  </si>
  <si>
    <t>Funktion Bw:   =Bw(Zins;Zzr;RMZ;Zw;F)</t>
  </si>
  <si>
    <t>Startkapital, Einzahlung, Barwert</t>
  </si>
  <si>
    <t>Eine fällige Versicherungssumme von 60.000,- Euro will Ihnen die Versicherung entweder a) auszahlen oder b) als regelmäßige</t>
  </si>
  <si>
    <t>Der Auszahlungsbetrag von 60.000,- Euro könnte mit 8% verzinst werden. Welche Entscheidung ist richtig? (Funktion BW, Barwert)</t>
  </si>
  <si>
    <t>und am Ende 180.000 € zusammenkommen sollen. Die Zahlungen sollen dabei am Monatsanfang geschehen. </t>
  </si>
  <si>
    <t>Wie hoch muss eine erste Kapitalanlage sein, wenn jeden Monat 2.000,- € über 72 Monate bei einen Zinssatz von 9,05 % einzahlt werden</t>
  </si>
  <si>
    <t xml:space="preserve">Sie haben ein kleines Sparvermögen und fragen sich, welchen Betrag davon eingesetzt werden muss, um bei 5% Zinsen pro Jahr </t>
  </si>
  <si>
    <t>nach 60 Monaten exakt den Betrag von 13.657,89 auf dem Konto zu haben? Dieser Betrag wird einmalig eingezahlt, monatliche weitere Zahlungen erfolgen nicht.</t>
  </si>
  <si>
    <t>Anlagebetrag, Startkapital</t>
  </si>
  <si>
    <t>Endkapital, Endwert, Zielwert</t>
  </si>
  <si>
    <t xml:space="preserve">• Wenn Einzahlungen mit positivem Vorzeichen erfasst werden, erhalten Rückzahlungen ein negatives Vorzeichen. </t>
  </si>
  <si>
    <t>• Wenn Rückzahlungen mit positivem Vorzeichen erfasst werden, erhalten Einzahlungen ein negatives Vorzeichen.</t>
  </si>
  <si>
    <t xml:space="preserve">Es ist lediglich darauf zu achten, Zahlungsströmen das richtige Vorzeichen zuzuordnen. Eine Darlehensauszahlung </t>
  </si>
  <si>
    <t xml:space="preserve">fließt in eine andere Richtung, als die Rückzahlung. Falls die Auszahlung ein negatives Vorzeichen erhält, wird der </t>
  </si>
  <si>
    <t xml:space="preserve">Rückzahlung ein positives Vorzeichen zugeordnet. Es wird vorgeschlagen, für Berechnungen von folgender Konvention auszugehen: </t>
  </si>
  <si>
    <t xml:space="preserve">• Sichtweise des Kunden: Einnahmen erhalten ein positives, Rückzahlungen ein negatives Vorzeichen. </t>
  </si>
  <si>
    <t>• Sichtweise der Bank: Auszahlungen erhalten ein negatives, Einzahlungen ein positives Vorzeichen.</t>
  </si>
  <si>
    <t xml:space="preserve">Es besteht kein Unterschied zwischen Anspar- und Darlehenskonten. </t>
  </si>
  <si>
    <t>Wie hoch wäre die Investitionssumme, die wir heute komplett auf den Tisch legen müssten, wenn wir mit einem angenommenen Zins von 3% rechnen würden?</t>
  </si>
  <si>
    <t>Dafür sollen wir ihm in den nächsten 5 Jahren jeweils am Jahresende 15.000,- Euro zahlen. Insgesamt also 75.000,- Euro.</t>
  </si>
  <si>
    <t>vollständige Tilgung</t>
  </si>
  <si>
    <t>Ende der Periode</t>
  </si>
  <si>
    <t>Unser Chef will sich zur Ruhe setzen und wir wollen ihm seinen kleinen Handwerksbetrieb abkaufen.</t>
  </si>
  <si>
    <t xml:space="preserve">Kapital von 50.000 Euro angespart und wollen uns davon über die nächsten 15 Jahre jeweils 350,- Euro monatlich auszahlen lassen. </t>
  </si>
  <si>
    <t>Die Guthabensverzinsung liegt bei angenommenen konstant mikrigen 1,5%. Reicht unser angespartes Kapital dafür aus?</t>
  </si>
  <si>
    <t xml:space="preserve">Unsere zukünftige Rente soll aufgebessert werden. Dazu haben wir bis zum Rentenbeginn ein </t>
  </si>
  <si>
    <t>Teilreflektion =  (Ausgangslichtintensität - Reflexionsverlust an Linsenseite) hoch (Zahl der Linsenseiten)</t>
  </si>
  <si>
    <t>Berechnung der Spar-Wirkung bei Anlage von Geld auf der Bank:</t>
  </si>
  <si>
    <t>Die abgewandelte Formel kommt bei der Berechung der Teilreflektion zum Zug, also beim Thema Linsenvergütung</t>
  </si>
  <si>
    <t>Hier befindet sich die Oberflächenvergütung auf mehreren Linsenoberflächen.</t>
  </si>
  <si>
    <t>Kürzer:</t>
  </si>
  <si>
    <t>Die Funktion SVERWEIS() durchsucht die erste Spalte eines Tabellenbereichs (Suchbereich) nach einem Suchbegriff</t>
  </si>
  <si>
    <t>und zeigt den Wert im Formelfeld an, der in der Spalte mit der angegebenen Spaltennummer und in der gleichen Zeile steht, wie der Suchbegriff.</t>
  </si>
  <si>
    <t>der restlichen Zellen des Datensatzes angezeigt,  weil dort in den sverweis-Formeln die Spaltennummer auf die Zelle und deren Inhalt verweist.</t>
  </si>
  <si>
    <t>SVERWEIS(Suchbegriff;Suchbereich;Spaltennummer des Suchbereichs;Genauigkeit)</t>
  </si>
  <si>
    <t>siehe auch WVERWEIS</t>
  </si>
  <si>
    <t>An der 4. Position der Formel muß 0 bzw. FALSCH stehen, wenn genau gesucht werden soll.</t>
  </si>
  <si>
    <t>"Datenbank"</t>
  </si>
  <si>
    <t>Der gelb unterlegte Bereich muss einen Namen erhalten: Menü Formeln - Namen definieren …</t>
  </si>
  <si>
    <t>Der Name wird in der Funktion sverweis() im Ausgabebereich verwendet:  =SVERWEIS(Datensatznummer;Bereichname;anzuzeigende Spalte;0)</t>
  </si>
  <si>
    <t>Nachname</t>
  </si>
  <si>
    <t>Vorname</t>
  </si>
  <si>
    <t>Straße</t>
  </si>
  <si>
    <t>Ort</t>
  </si>
  <si>
    <t>Kilian</t>
  </si>
  <si>
    <t>Wolfgang</t>
  </si>
  <si>
    <t>Kleine Straße 23</t>
  </si>
  <si>
    <t>Bielefeld</t>
  </si>
  <si>
    <t>Meier</t>
  </si>
  <si>
    <t>Peter</t>
  </si>
  <si>
    <t>Breite Straße</t>
  </si>
  <si>
    <t>Hamburg</t>
  </si>
  <si>
    <t>Schmidt</t>
  </si>
  <si>
    <t>Klaus</t>
  </si>
  <si>
    <t>Bahnhofstraße</t>
  </si>
  <si>
    <t>Frankfurt</t>
  </si>
  <si>
    <t>Tölle</t>
  </si>
  <si>
    <t>Hans</t>
  </si>
  <si>
    <t>Lange Straße</t>
  </si>
  <si>
    <t>München</t>
  </si>
  <si>
    <t>Krahmer</t>
  </si>
  <si>
    <t>Frank</t>
  </si>
  <si>
    <t>Heeper Straße</t>
  </si>
  <si>
    <t>London</t>
  </si>
  <si>
    <t>Berger</t>
  </si>
  <si>
    <t>Anne</t>
  </si>
  <si>
    <t>Dorfstraße</t>
  </si>
  <si>
    <t>New York</t>
  </si>
  <si>
    <t>Michel</t>
  </si>
  <si>
    <t>Jana</t>
  </si>
  <si>
    <t>Lindenallee</t>
  </si>
  <si>
    <t>Tokyo</t>
  </si>
  <si>
    <t>Hohmann</t>
  </si>
  <si>
    <t>Franziska</t>
  </si>
  <si>
    <t>Rosenhöhe</t>
  </si>
  <si>
    <t>Herford</t>
  </si>
  <si>
    <t>Heuke</t>
  </si>
  <si>
    <t>Kerstin</t>
  </si>
  <si>
    <t>Bergstraße</t>
  </si>
  <si>
    <t>Detmold</t>
  </si>
  <si>
    <t>Schulz</t>
  </si>
  <si>
    <t>Britta</t>
  </si>
  <si>
    <t>Salzstraße</t>
  </si>
  <si>
    <t>Hannover</t>
  </si>
  <si>
    <t>Kern</t>
  </si>
  <si>
    <t>Sabine</t>
  </si>
  <si>
    <t>Kernstraße</t>
  </si>
  <si>
    <t>Brilon</t>
  </si>
  <si>
    <t>Brauer</t>
  </si>
  <si>
    <t>Ulrich</t>
  </si>
  <si>
    <t>Brauerstraße</t>
  </si>
  <si>
    <t>Cuxhaven</t>
  </si>
  <si>
    <t>Mühlisch</t>
  </si>
  <si>
    <t>Brigitta</t>
  </si>
  <si>
    <t>Mühlenstraße</t>
  </si>
  <si>
    <t>Rosenheim</t>
  </si>
  <si>
    <t>Patzke</t>
  </si>
  <si>
    <t>Jannik</t>
  </si>
  <si>
    <t>Kirchplatz</t>
  </si>
  <si>
    <t>Bayreuth</t>
  </si>
  <si>
    <t>Flurer</t>
  </si>
  <si>
    <t>Bernd</t>
  </si>
  <si>
    <t>Flurstück 2</t>
  </si>
  <si>
    <t>Stettin</t>
  </si>
  <si>
    <t>Markowski</t>
  </si>
  <si>
    <t>Janine</t>
  </si>
  <si>
    <t>Marktplatz 5</t>
  </si>
  <si>
    <t>Heilbronn</t>
  </si>
  <si>
    <t>Im Blatt Steuerung passende Formeln/Zellbezüge eingeben.</t>
  </si>
  <si>
    <t>Funktion sverweis() wird im Ausgabebereich verwendet:  =SVERWEIS(Datensatznummer;Bereichname;anzuzeigende Spalte;0)</t>
  </si>
  <si>
    <t>Auswahl</t>
  </si>
  <si>
    <t>Ausgabebereich</t>
  </si>
  <si>
    <t>Datensatz</t>
  </si>
  <si>
    <t>Suchbegriff</t>
  </si>
  <si>
    <t>Datensatz-Nr.</t>
  </si>
  <si>
    <t>Beispiel für die Tabelle unten: Wird als Suchbegriff in Zelle B60 6 eingegeben, wird in den Zellen rechts daneben der Inhalt</t>
  </si>
  <si>
    <t>Spalte 4</t>
  </si>
  <si>
    <t>Spalte 5</t>
  </si>
  <si>
    <t>Beispiel:   =SVERWEIS(B62;B26:F41;3;0) gibt den Vornamen aus.</t>
  </si>
  <si>
    <t>Die Daten-Tabelle (Suchbereich) sollte sinnvoll sortiert sein!</t>
  </si>
  <si>
    <t xml:space="preserve">Steuerelemente (DropDown) einfügen und formatieren. </t>
  </si>
  <si>
    <t>Produkt-</t>
  </si>
  <si>
    <t>Netto-</t>
  </si>
  <si>
    <t>Rabatt-</t>
  </si>
  <si>
    <t>kürzel</t>
  </si>
  <si>
    <t>Name</t>
  </si>
  <si>
    <t>Preis</t>
  </si>
  <si>
    <t>satz</t>
  </si>
  <si>
    <t>A50</t>
  </si>
  <si>
    <t>Agfacolor 50</t>
  </si>
  <si>
    <t>A100</t>
  </si>
  <si>
    <t>Agfapan 100</t>
  </si>
  <si>
    <t>A200</t>
  </si>
  <si>
    <t>Agfachrome 200</t>
  </si>
  <si>
    <t>A400</t>
  </si>
  <si>
    <t>Agfachrome 400</t>
  </si>
  <si>
    <t>K50</t>
  </si>
  <si>
    <t>Kodak Ektachrome 50</t>
  </si>
  <si>
    <t>K100</t>
  </si>
  <si>
    <t>Kodak Vericolor 100</t>
  </si>
  <si>
    <t>K200</t>
  </si>
  <si>
    <t>Kodak Ektachrome 200</t>
  </si>
  <si>
    <t>K400</t>
  </si>
  <si>
    <t>Kodak 400</t>
  </si>
  <si>
    <t>F50</t>
  </si>
  <si>
    <t>Fuji Velvia 50</t>
  </si>
  <si>
    <t>F100</t>
  </si>
  <si>
    <t>Fuji Velvia 100</t>
  </si>
  <si>
    <t>Stückzahl</t>
  </si>
  <si>
    <t>Brutto-</t>
  </si>
  <si>
    <t>Rabatt</t>
  </si>
  <si>
    <t>Endpreis</t>
  </si>
  <si>
    <t>name</t>
  </si>
  <si>
    <t>k400</t>
  </si>
  <si>
    <t>f100</t>
  </si>
  <si>
    <t>a400</t>
  </si>
  <si>
    <t>k200</t>
  </si>
  <si>
    <t>f50</t>
  </si>
  <si>
    <t>a200</t>
  </si>
  <si>
    <t>Datenbank</t>
  </si>
  <si>
    <t>Tabellenbereich B86:F95</t>
  </si>
  <si>
    <t>Beispiel für die Erstellung einer Rechnung</t>
  </si>
  <si>
    <t>Einzelpreis</t>
  </si>
  <si>
    <t>MwSt</t>
  </si>
  <si>
    <t>gesamt</t>
  </si>
  <si>
    <t>Ein Fotostudio will möglichst viele Daten eines Kostenvoranschlags unmittelbar für die Erstellung der Rechnung übernehmen.</t>
  </si>
  <si>
    <t>Die Bereiche "Kostenvoranschlag" und "Rechnung" sollen übereinander auf einem Tabellenblatt liegen.</t>
  </si>
  <si>
    <t>Setzen Sie überall, wo es sinnvoll ist, Formeln ein, um die fehlenden Werte zu errechnen: Laufende Nummer, Nettosumme,</t>
  </si>
  <si>
    <t>Mehrwertsteuer, Bruttosumme und die Additionen der Spalten mit der Feststellung des Gesamtbetrags.</t>
  </si>
  <si>
    <t>Beachten Sie, dass sich oberhalb des Kostenvoranschlags ein Eingabefeld befindet, in das ein beliebiger Mehrwertsteuersatz</t>
  </si>
  <si>
    <t>Eingabe Mehrwertsteuersatz:</t>
  </si>
  <si>
    <t>Werbeagentur Point of View</t>
  </si>
  <si>
    <t>Frauke Lichtner</t>
  </si>
  <si>
    <t>Prinz-Georg-Straße 7</t>
  </si>
  <si>
    <t>Fotografin</t>
  </si>
  <si>
    <t>Wertgasse 23</t>
  </si>
  <si>
    <t>40476 Düsseldorf</t>
  </si>
  <si>
    <t>33703 Bielefeld</t>
  </si>
  <si>
    <t>Kostenvoranschlag/Angebot</t>
  </si>
  <si>
    <t>Produktionshonorar für Motiv "Saxophonspieler mit Mädchen vor Altstadtkneipe" mit zwei Varianten</t>
  </si>
  <si>
    <t>lfd. Nr.</t>
  </si>
  <si>
    <t>Leistung</t>
  </si>
  <si>
    <t>Stück, Tage</t>
  </si>
  <si>
    <t>Preis/Einheit</t>
  </si>
  <si>
    <t>Nettosumme</t>
  </si>
  <si>
    <t>Bruttosumme</t>
  </si>
  <si>
    <t>Aufnahmetag</t>
  </si>
  <si>
    <t>Nutzungshonorar Anzeigen bundesweit 1 Jahr</t>
  </si>
  <si>
    <t>Nutzungshonorar Plakate bundesweit 1 Jahr</t>
  </si>
  <si>
    <t>Locationsuche</t>
  </si>
  <si>
    <t>Casting</t>
  </si>
  <si>
    <t>Assistent</t>
  </si>
  <si>
    <t>Hilfskräfte</t>
  </si>
  <si>
    <t>Visagistin</t>
  </si>
  <si>
    <t>Stylistin</t>
  </si>
  <si>
    <t>Model-Honorar</t>
  </si>
  <si>
    <t>Laienmodelle</t>
  </si>
  <si>
    <t>Spesen/Fahrkosten für Laienmod.</t>
  </si>
  <si>
    <t>Fotomaterial</t>
  </si>
  <si>
    <t>Filmverarbeitung</t>
  </si>
  <si>
    <t>Polaroids</t>
  </si>
  <si>
    <t>Transportkosten</t>
  </si>
  <si>
    <t>Leihgebühr für Scheinwerfer</t>
  </si>
  <si>
    <t>Leihgebühr für Requisiten</t>
  </si>
  <si>
    <t>Bewirtung der Crew und der Modelle</t>
  </si>
  <si>
    <t>Aufnahmegenehmigung durch Ordnungsamt</t>
  </si>
  <si>
    <t>Zwischensummen</t>
  </si>
  <si>
    <t>insgesamt brutto</t>
  </si>
  <si>
    <t>Rechnung Nr. 220501</t>
  </si>
  <si>
    <t>abzüglich Nebenkostenvorschuss netto</t>
  </si>
  <si>
    <t>darauf gezahlte MwSt.</t>
  </si>
  <si>
    <t>noch zu zahlen</t>
  </si>
  <si>
    <t>insgesamt brutto:</t>
  </si>
  <si>
    <t>Vorlage für Kostenvoranschlag</t>
  </si>
  <si>
    <t>Erstellen Sie dann unterhalb des Kostenvoranschlags eine Rechnung, in der möglichst alle notwendigen Daten aus dem Kostenvoranschlag</t>
  </si>
  <si>
    <t xml:space="preserve">übernommen werden. </t>
  </si>
  <si>
    <t>eingegeben werden soll.</t>
  </si>
  <si>
    <t>Formatieren Sie alles passend.</t>
  </si>
  <si>
    <t>Erstellen Sie unterhalb der Rechnung einen Datenbankbereich "Leistungen" mit allen Leistungen und den dazugehörenden Preisen.</t>
  </si>
  <si>
    <t xml:space="preserve">Fügen Sie drei DropDown-Felder rechts neben dem Kostenvoranschlag ein, mit denen man die gewünschte Leistung bzw. keine Leistung (leer) </t>
  </si>
  <si>
    <t>wählen kann und die entsprechende Leistung und der Preis in den Kostenvoranschlag übernommen werden.</t>
  </si>
  <si>
    <t>-</t>
  </si>
  <si>
    <t>Die Wiedergabe erfolgt mit einer Bildfrequenz von 25 Bildern pro Sekunde (Fernseh-Norm).</t>
  </si>
  <si>
    <t>Reale Zeit</t>
  </si>
  <si>
    <t>Minuten</t>
  </si>
  <si>
    <t>Gewünschte Zeit</t>
  </si>
  <si>
    <t>Stunden-Minuten-Sekunden-Faktor</t>
  </si>
  <si>
    <t>Bildfrequenz Video</t>
  </si>
  <si>
    <t>Reale Zeit in Sekunden</t>
  </si>
  <si>
    <t>Gewünschte Zeit in Sekunden</t>
  </si>
  <si>
    <t>Reale Zeit in Frames</t>
  </si>
  <si>
    <t>Gewünschte Zeit in Frames</t>
  </si>
  <si>
    <t>Bilder</t>
  </si>
  <si>
    <t>Benötigte Bildanzahl = Gewünschte Zeit in Sekunden * Wiedergabefrequenz</t>
  </si>
  <si>
    <t>Verkürzungsfaktor</t>
  </si>
  <si>
    <t>Verkürzungsfaktor = Gewünschte Zeit  /  Reale Zeit</t>
  </si>
  <si>
    <t>Neue Bildfrequenz</t>
  </si>
  <si>
    <t>Frames je Sekunde</t>
  </si>
  <si>
    <t>Frames je Minute</t>
  </si>
  <si>
    <t>Frames je Stunde</t>
  </si>
  <si>
    <t>Intervall zwischen 2 Frames</t>
  </si>
  <si>
    <t>Zeit-Intervall = 1 / (Wiedergabefrequenz * Verkürzungsfaktor)</t>
  </si>
  <si>
    <r>
      <t xml:space="preserve">dass der Kreis einen Radius von </t>
    </r>
    <r>
      <rPr>
        <b/>
        <i/>
        <sz val="10"/>
        <rFont val="Arial"/>
        <family val="2"/>
      </rPr>
      <t xml:space="preserve">1 </t>
    </r>
    <r>
      <rPr>
        <sz val="10"/>
        <rFont val="Arial"/>
        <family val="2"/>
      </rPr>
      <t>hat.</t>
    </r>
  </si>
  <si>
    <r>
      <t xml:space="preserve">2* </t>
    </r>
    <r>
      <rPr>
        <b/>
        <sz val="10"/>
        <rFont val="Arial"/>
        <family val="2"/>
      </rPr>
      <t>π</t>
    </r>
    <r>
      <rPr>
        <sz val="10"/>
        <rFont val="Arial"/>
        <family val="2"/>
      </rPr>
      <t xml:space="preserve"> * 1 = </t>
    </r>
  </si>
  <si>
    <r>
      <t>α</t>
    </r>
    <r>
      <rPr>
        <sz val="10"/>
        <rFont val="Arial"/>
        <family val="2"/>
      </rPr>
      <t>/360 multipliziert werden.</t>
    </r>
  </si>
  <si>
    <r>
      <t xml:space="preserve">Beispiel: Winkel </t>
    </r>
    <r>
      <rPr>
        <b/>
        <sz val="10"/>
        <rFont val="Arial"/>
        <family val="2"/>
      </rPr>
      <t>α</t>
    </r>
    <r>
      <rPr>
        <sz val="10"/>
        <rFont val="Arial"/>
        <family val="2"/>
      </rPr>
      <t xml:space="preserve"> hat 120 Grad:</t>
    </r>
  </si>
  <si>
    <t>Ein 1,20 m großes Kind soll so fotografiert werden, dass das Bild 6 cm hoch wird.</t>
  </si>
  <si>
    <t>Das Kind steht 3,20 m vom Objektiv entfernt.</t>
  </si>
  <si>
    <t>Wie groß ist die Bildweite?</t>
  </si>
  <si>
    <t>gefärbte Zellen dürfen verändert werden</t>
  </si>
  <si>
    <t>Eingabe</t>
  </si>
  <si>
    <t>Bildhöhe : Gegenstandshöhe</t>
  </si>
  <si>
    <t>Zerlegung</t>
  </si>
  <si>
    <t>1 f +</t>
  </si>
  <si>
    <t>1 : Abbildungsmaßstab</t>
  </si>
  <si>
    <t>Aufnahmeabstand : Anzahl f in a</t>
  </si>
  <si>
    <t>(1 + Abbildungsmaßstab) x Brennweite</t>
  </si>
  <si>
    <t>Gegenstandshöhe, y</t>
  </si>
  <si>
    <t>Bildhöhe, y'</t>
  </si>
  <si>
    <t>Aufnahmeabstand, a</t>
  </si>
  <si>
    <t>Abbildungsmaßstab V = Bildhöhe / Gegenstandshöhe</t>
  </si>
  <si>
    <t>Zellinhalt D38 ist Kehrwert des Zellinhalts C36</t>
  </si>
  <si>
    <t>1 zu 20</t>
  </si>
  <si>
    <t>Formel mit Text-Zahl-Kombination</t>
  </si>
  <si>
    <t>Anzahl Brennweiten in Bildweite a'</t>
  </si>
  <si>
    <t>a' = 1 * f  + V * f</t>
  </si>
  <si>
    <t>Aufnahmeabstand / Bildweite</t>
  </si>
  <si>
    <t>Abbildungmaßstab = y' / y   =  a' / a</t>
  </si>
  <si>
    <t>Bildweite / Aufnahmeabstand</t>
  </si>
  <si>
    <t>Eine Personengruppe wird auf einer Freitreppe so gestellt, dass sie einen Raum von 4,50 m Breite</t>
  </si>
  <si>
    <t xml:space="preserve">und 3,25 m Höhe beansprucht. Die Entfernung des Objektivs von den Personen beträgt 7,50 m, die </t>
  </si>
  <si>
    <t>Bildweite (Auszug) 30 cm. In welchem Format wird die Aufnahme gemacht?</t>
  </si>
  <si>
    <t>Gegenstandsbreite</t>
  </si>
  <si>
    <t>Bildweite : Aufnahmeabstand</t>
  </si>
  <si>
    <t>V = y' / y = a' / a</t>
  </si>
  <si>
    <t>Gegenstandshöhe x Abbildungsmaßstab</t>
  </si>
  <si>
    <t>(Gegenstandsbreite : Gegenstandshöhe) x Bildhöhe</t>
  </si>
  <si>
    <t>Gegenstandshöhe oder -breite</t>
  </si>
  <si>
    <t>Bildhöhe oder -breite</t>
  </si>
  <si>
    <t>Gegenstandsweite = Aufnahmeabstand</t>
  </si>
  <si>
    <t>Bildweite = Auszug</t>
  </si>
  <si>
    <t>f oder f'</t>
  </si>
  <si>
    <r>
      <t>Gegenstandsbreite, y</t>
    </r>
    <r>
      <rPr>
        <vertAlign val="subscript"/>
        <sz val="10"/>
        <rFont val="Arial"/>
        <family val="2"/>
      </rPr>
      <t>1</t>
    </r>
  </si>
  <si>
    <r>
      <t>Gegenstandshöhe, y</t>
    </r>
    <r>
      <rPr>
        <vertAlign val="subscript"/>
        <sz val="10"/>
        <rFont val="Arial"/>
        <family val="2"/>
      </rPr>
      <t>2</t>
    </r>
  </si>
  <si>
    <t>Gegenstandsweite, a</t>
  </si>
  <si>
    <t>Bildweite, a'</t>
  </si>
  <si>
    <t>Abbildungsmaßstab V oder m =  y'  /  y   =   a'  /  a</t>
  </si>
  <si>
    <t>Abbildungsmaßstab V, m</t>
  </si>
  <si>
    <t>1 zu 25</t>
  </si>
  <si>
    <t>Verkleinerung</t>
  </si>
  <si>
    <r>
      <t>Bildbreite y</t>
    </r>
    <r>
      <rPr>
        <vertAlign val="subscript"/>
        <sz val="10"/>
        <rFont val="Arial"/>
        <family val="2"/>
      </rPr>
      <t>1</t>
    </r>
    <r>
      <rPr>
        <sz val="10"/>
        <rFont val="Arial"/>
        <family val="2"/>
      </rPr>
      <t>'</t>
    </r>
  </si>
  <si>
    <t>V = y' / y</t>
  </si>
  <si>
    <r>
      <t>Bildhöhe y</t>
    </r>
    <r>
      <rPr>
        <vertAlign val="subscript"/>
        <sz val="10"/>
        <rFont val="Arial"/>
        <family val="2"/>
      </rPr>
      <t>2</t>
    </r>
    <r>
      <rPr>
        <sz val="10"/>
        <rFont val="Arial"/>
        <family val="2"/>
      </rPr>
      <t>'</t>
    </r>
  </si>
  <si>
    <t>y' = V * y</t>
  </si>
  <si>
    <t>Anzahl = 1 + 1/V</t>
  </si>
  <si>
    <t>Anzahl Brennweiten in a'</t>
  </si>
  <si>
    <t>Anzahl = 1 + V</t>
  </si>
  <si>
    <t>Brennweite errechnet aus a</t>
  </si>
  <si>
    <t>f = a / Anzahl f in a</t>
  </si>
  <si>
    <t>Brennweite errechnet aus a'</t>
  </si>
  <si>
    <t>f = a' / Anzahl f in a'</t>
  </si>
  <si>
    <t xml:space="preserve">Eine Maschine von 65 cm Breite und 90 cm Höhe ist zu fotografieren. In welchem Format wird </t>
  </si>
  <si>
    <t>sie abgebildet, wenn die Aufnahme mit einer Gegenstandsweite von 3 m und einer Bildweite von</t>
  </si>
  <si>
    <t>60 cm gemacht wird?</t>
  </si>
  <si>
    <t>veränderbar</t>
  </si>
  <si>
    <t>Gegenstandsbreite y1</t>
  </si>
  <si>
    <t>Gegenstandshöhe y2</t>
  </si>
  <si>
    <t>als Bruch</t>
  </si>
  <si>
    <t>1 zu 5</t>
  </si>
  <si>
    <t>Bildbreite y'1</t>
  </si>
  <si>
    <t>Gegenstandsbreite * V</t>
  </si>
  <si>
    <t>Bildhöhe y'2</t>
  </si>
  <si>
    <t>Gegenstandshöhe * V</t>
  </si>
  <si>
    <t>Die Bildbreite ist 13 cm, die Bildhöhe 18 cm.</t>
  </si>
  <si>
    <t>Berechnen Sie die unbekannten Größen:</t>
  </si>
  <si>
    <t>Abbildungsmaßstab (y' : y)</t>
  </si>
  <si>
    <t>Anzahl f in a (1+(1:Abb.m.))</t>
  </si>
  <si>
    <t>Brennweite in cm (Aufnabst:Anz.f in a)</t>
  </si>
  <si>
    <t>Bildweite in cm ((1+Abb.m.)x Brennweite)</t>
  </si>
  <si>
    <t>Aufnahmeabstand in cm (Bildweite:Abb.m.)</t>
  </si>
  <si>
    <t>Abbildungsmaßstab (Bildweite:Aufn.abst.)</t>
  </si>
  <si>
    <t>Bildhöhe in cm (Abb.m. x Gegenst.höhe)</t>
  </si>
  <si>
    <t>Gegenstandshöhe (Bildhöhe:Abb.m.)</t>
  </si>
  <si>
    <t>In einer Vitrine sind in einer Breite von 1,44 m Porzellanfiguren ausgestellt.</t>
  </si>
  <si>
    <t>Sie werden so fotografiert, dass die Figurenreihe 16 cm breit abgebildet wird.</t>
  </si>
  <si>
    <t>Wie groß ist die Bildweite, wenn der Abstand des Objektivs von den Figuren 3 m beträgt?</t>
  </si>
  <si>
    <t>Bildbreite : Gegenstandsbreite</t>
  </si>
  <si>
    <t>(1+Abbildungsmaßstab) x Brennweite</t>
  </si>
  <si>
    <t>farblich unterlegte Zellen dürfen verändert werden</t>
  </si>
  <si>
    <t>Gegenstandsbreite y</t>
  </si>
  <si>
    <t>Gegenstandsweite/Aufn.-abstand a</t>
  </si>
  <si>
    <t>Abb.-maßstab V = Bildbreite / Gegenstandsbreite</t>
  </si>
  <si>
    <t>V in anderer Schreibweise</t>
  </si>
  <si>
    <t>1 zu 9</t>
  </si>
  <si>
    <t>Abb.-maßstab V = Bildweite / Gegenstandsweite</t>
  </si>
  <si>
    <t>Eine Zahl wird durch einen Bruch geteilt, indem man den Zähler mit dem Kehrwert des Nenners multipliziert.</t>
  </si>
  <si>
    <t xml:space="preserve">Beispiel:  3 / 2/3 ergibt  3 * 3/2  = 9/2, weil ein Bruch mit einer Zahl multipliziert wird, </t>
  </si>
  <si>
    <t>indem man den Zähler mit der Zahl multipliziert und den Nenner belässt.</t>
  </si>
  <si>
    <t>a' = Brennweite + V * Brennweite</t>
  </si>
  <si>
    <t>a = Brennweite + 1/V * Brennweite</t>
  </si>
  <si>
    <t>Die Bildweite ist 33,33 cm.</t>
  </si>
  <si>
    <t xml:space="preserve">Mit welcher Gegenstandsweite wird eine Freskomalerei 65x90 cm aufgenommen, wenn die Bildweite 36 cm </t>
  </si>
  <si>
    <t>beträgt und die Aufnahme 13x18 cm groß wird?</t>
  </si>
  <si>
    <t>1+(1:Abbildungsmaßstab)</t>
  </si>
  <si>
    <t>Bildweite:Abbildungsmaßstab</t>
  </si>
  <si>
    <t>Abbildungsmaßstab = Bildhöhe / Gegenstandshöhe</t>
  </si>
  <si>
    <t>Abbildungsmaßstab V=y'2 / y2</t>
  </si>
  <si>
    <t>Abbildungsmaßstab = Bildbreite / Gegenstandsbreite</t>
  </si>
  <si>
    <t>Abbildungsmaßstab V=y'1 / y1</t>
  </si>
  <si>
    <t>V als Bruch</t>
  </si>
  <si>
    <t>Kehrwert des Abb.-maßstabs + 1</t>
  </si>
  <si>
    <t>Abb.-maßstab + 1</t>
  </si>
  <si>
    <t>Bildweite / Anzahl f in a'</t>
  </si>
  <si>
    <t>Die Gegenstandsweite ist 180 cm.</t>
  </si>
  <si>
    <t>Ein schmiedeeisernes Tor wird im Format 13x18 cm abgebildet.</t>
  </si>
  <si>
    <t>Die Entfernung des Objektivs vom Tor beträgt 6,51 m, die Bildweite 21,7 cm.</t>
  </si>
  <si>
    <t>Welche Höhe und Breite hat das Tor?</t>
  </si>
  <si>
    <t>Bildweite:Aufnahmeabstand</t>
  </si>
  <si>
    <t>Bildhöhe:Abbildungsmaßstab</t>
  </si>
  <si>
    <t>(Bildbreite:Bildhöhe) x Gegenstandshöhe</t>
  </si>
  <si>
    <t>Anzahl der Brennweiten im Aufn.-abstand</t>
  </si>
  <si>
    <t>Abbildungsmaßstab V als Bruch</t>
  </si>
  <si>
    <t>1 zu 30</t>
  </si>
  <si>
    <t>y = y' / V</t>
  </si>
  <si>
    <t>alternative Rechnung: Gegenstandshöhe y2</t>
  </si>
  <si>
    <t>Das Motiv ist 390 cm breit und 540 cm hoch.</t>
  </si>
  <si>
    <t>In einem Museum ist eine Tonplastik zu fotografieren. Ihre Höhe beträgt 45 cm.</t>
  </si>
  <si>
    <t xml:space="preserve">Welche Höhe erhält die Abbildung, wenn der Abstand zwischen Objektiv und Plastik 3 m </t>
  </si>
  <si>
    <t>und die Bildweite 60 cm beträgt?</t>
  </si>
  <si>
    <t>9.</t>
  </si>
  <si>
    <t>Eine 1,68 m große, stehende Person wird mit einer Kleinbildkamera fotografiert, deren Bildweite</t>
  </si>
  <si>
    <t>3,6 cm beträgt. Auf der Mattscheibe ist die Figur 27 mm hoch.</t>
  </si>
  <si>
    <t>In welcher Entfernung wurde die Aufnahme gemacht?</t>
  </si>
  <si>
    <t>Bildhöhe:Gegenstandshöhe</t>
  </si>
  <si>
    <t>Kehrwert des Abb.-maßstab</t>
  </si>
  <si>
    <t>Abbildungsmaßstab als Bruch</t>
  </si>
  <si>
    <t>1 zu 62,22</t>
  </si>
  <si>
    <t>10.</t>
  </si>
  <si>
    <t>Eine Personengruppe wird in aufsteigenden Reihen so aufgestellt, dass sie 3,6 m breit und 2,7 m hoch erscheint.</t>
  </si>
  <si>
    <t>Das Format der Aufnahme ist 12x9 cm. Mit welcher Bildweite muss der Fotograf die Aufnahme machen,</t>
  </si>
  <si>
    <t>wenn er sich in 10,8 m Entfernung vor der Gruppe aufstellt?</t>
  </si>
  <si>
    <t>Aufnahmeabstand:Anzahl f in a</t>
  </si>
  <si>
    <t>Bildhöhe/Gegenstandshöhe</t>
  </si>
  <si>
    <t>Anzahl Brennweite in a</t>
  </si>
  <si>
    <t>alternative Rechnung:Bildweite a'</t>
  </si>
  <si>
    <t>Aufn.-abstand * Abb.-maßstab</t>
  </si>
  <si>
    <t>V = a' / a = y' / y</t>
  </si>
  <si>
    <t>11.</t>
  </si>
  <si>
    <t xml:space="preserve">Ein 34 m hoher Turm wird mit einem Apparat im Format 13x18 cm bei einer Bildweite </t>
  </si>
  <si>
    <t>von 36 cm in einer Entfernung von 72 m fotografiert.</t>
  </si>
  <si>
    <t>Wir hoch wird der Turm auf der Mattscheibe?</t>
  </si>
  <si>
    <t>Bildhöhe des Turms</t>
  </si>
  <si>
    <t>Abbildungsmaßstab x Gegenstandshöhe</t>
  </si>
  <si>
    <t>12.</t>
  </si>
  <si>
    <t>Eine Tabelle zur Feststellung der Originalabstände und Kameraauszüge sieht so aus:</t>
  </si>
  <si>
    <t>Berechnen Sie jeweils die dazugehörigen Brennweiten aus der Verkleinerung und aus der Vergrößerung.</t>
  </si>
  <si>
    <t>a) Verkleinerung: V=1:3</t>
  </si>
  <si>
    <t>Originalabstand in cm</t>
  </si>
  <si>
    <t>Bildweite in cm</t>
  </si>
  <si>
    <t>Anzahl f in a (1+(1:Abbildungsmaßstab))</t>
  </si>
  <si>
    <t>Brennweite (Aufnahmeabstand:Anz f in a)</t>
  </si>
  <si>
    <t>b) Vergrößerung: V=3:1</t>
  </si>
  <si>
    <t>Ein Gegenstand befindet sich 4 Meter entfernt und soll mit einem Objektiv mit einer Brennweite von 80 mm fotografiert werden.</t>
  </si>
  <si>
    <t>In welcher Entfernung entsteht das scharfe Bild (Bildweite a')?</t>
  </si>
  <si>
    <t>Passt das Bild des Gegenstands in ein Kleinbild-Querformat, wenn der Gegenstand 1,2 Meter hoch ist?</t>
  </si>
  <si>
    <t>Welcher Abbildungsmaßstab V liegt vor?</t>
  </si>
  <si>
    <t>Aufnahmeabstand : Brennweite</t>
  </si>
  <si>
    <t xml:space="preserve">1 zu </t>
  </si>
  <si>
    <t xml:space="preserve">1 f + </t>
  </si>
  <si>
    <t>Brennweiten insgesamt</t>
  </si>
  <si>
    <t>Brennweiten insgesamt x Brennweite</t>
  </si>
  <si>
    <t>Bildhöhe = Gegenstandshöhe x Abbildungsmaßstab</t>
  </si>
  <si>
    <t>Passt das Bild in das Format?</t>
  </si>
  <si>
    <t>14.</t>
  </si>
  <si>
    <t>Ein Baum von 2,40 m Höhe soll mit einem Objektiv von 10 cm Brennweite 8 cm groß</t>
  </si>
  <si>
    <t>abgebildet werden. Wie groß ist die Gegenstandsweite?</t>
  </si>
  <si>
    <t>Brennweite x Anzahl f in a</t>
  </si>
  <si>
    <t>Abbildungsmaßstab V = Bildhöhe y'  / Gegenstandshöhe y</t>
  </si>
  <si>
    <t>andere Darstellung Abb.-maßstab V       1 zu</t>
  </si>
  <si>
    <t>Kehrwert der Dezimalzahl  &gt;&gt;  = 1/Dezimalzahl</t>
  </si>
  <si>
    <t>Anzahl Brennweite im Aufnahmenabstand</t>
  </si>
  <si>
    <t>1 zu 2</t>
  </si>
  <si>
    <t>1/2 &gt;&gt; 2/1</t>
  </si>
  <si>
    <t>1 zu 10</t>
  </si>
  <si>
    <t>1/10 &gt;&gt; 10/1</t>
  </si>
  <si>
    <t>Die Gegenstandsweite ist 310 cm.</t>
  </si>
  <si>
    <t>Aufn.-abstand a</t>
  </si>
  <si>
    <t>V = 1 / 17 &gt;&gt;&gt; Im Aufn.-abstand sind 1 f + 17 f  =  18 f enthalten</t>
  </si>
  <si>
    <t>15.</t>
  </si>
  <si>
    <t>Ein Mädchen von 1,60 m Größe wird mit einem Objektiv von 10 cm Brennweite mit einer</t>
  </si>
  <si>
    <t>Gegenstandsweite von 2,50 m aufgenommen.</t>
  </si>
  <si>
    <t>Wie groß wird es abgebildet?</t>
  </si>
  <si>
    <t>Aufnahmeabstand:Brennweite</t>
  </si>
  <si>
    <t>1:(Anzahl f in a -1)</t>
  </si>
  <si>
    <t>16.</t>
  </si>
  <si>
    <t>Bei einer Verkleinerung auf 1/5 beträgt die Bildweite 16,2 cm.</t>
  </si>
  <si>
    <t>Welche Brennweite wird verwendet?</t>
  </si>
  <si>
    <t>17.</t>
  </si>
  <si>
    <t>Welche Bildweite ist notwendig, wenn der Fotograf eine Baumgruppe in 6 m</t>
  </si>
  <si>
    <t>Entfernung aufnimmt und ein Objektiv von 15 cm Brennweite benutzt?</t>
  </si>
  <si>
    <t>18.</t>
  </si>
  <si>
    <t>Mit welcher Gegenstandsweite ist der 300 m Eiffelturm mit einer Kleinbildkamera (Brennweite 5 cm)</t>
  </si>
  <si>
    <t>aufgenommen worden, wenn er auf dem Negativ 30 mm hoch wird?</t>
  </si>
  <si>
    <t>Bildhöhe:Gegebstandshöhe</t>
  </si>
  <si>
    <t>19.</t>
  </si>
  <si>
    <t>Ein Portal von 2,40 m Höhe wird in einem Abstand von 4 m fotografiert.</t>
  </si>
  <si>
    <t>Das Objektiv hat eine Brennweite von 7,5 cm.</t>
  </si>
  <si>
    <t>Wie groß wird die Abbildung auf dem Film?</t>
  </si>
  <si>
    <t>(Aufnahmeabstand:Brennweite)-1</t>
  </si>
  <si>
    <t>1:Abbildungsmaßstab</t>
  </si>
  <si>
    <t>20.</t>
  </si>
  <si>
    <t xml:space="preserve">Ein Brunnen, dessen Figur 4 m hoch und dessen Becken 3 m weit ist, wird mit einer Gegenstandsweite </t>
  </si>
  <si>
    <t>von 5,46 m fotografiert. Welche Brennweite hat das Objektiv, wenn der Brunnen 16 cm hoch und</t>
  </si>
  <si>
    <t>12 cm breit abgebildet wird?</t>
  </si>
  <si>
    <t>1+(1:Abbildungamaßstab)</t>
  </si>
  <si>
    <t>21.</t>
  </si>
  <si>
    <t>Eine Plakatwand von 3 m Höhe soll mit einem Objektiv von 15 cm Brennweite 10 cm hoch</t>
  </si>
  <si>
    <t>abgebildet werden. Wie groß sind der Aufnahmeabstand und die Bildweite?</t>
  </si>
  <si>
    <t>22.</t>
  </si>
  <si>
    <t>Ein Portrait soll mit einem Objektiv von 21 cm Brennweite im Abbildungsmaßstab V=1:5</t>
  </si>
  <si>
    <t>aufgenommen werden. Welcher Aufnahmeabstand ist notwendig?</t>
  </si>
  <si>
    <t>23.</t>
  </si>
  <si>
    <t>Ein Fahrzeug von 1,20 m Höhe wird mit einer Kamera mit f = 8cm aus einer Entfernung</t>
  </si>
  <si>
    <t>von 248 cm aufgenommen. Wie groß wird die Abbildung auf der Mattscheibe?</t>
  </si>
  <si>
    <t>(Aufnahmeabstand : Brennweite) -1</t>
  </si>
  <si>
    <t>24.</t>
  </si>
  <si>
    <t>Ein Kind wird im Abbildungsmaßstab 1:10 aus 2,20 m Entfernung aufgenommen.</t>
  </si>
  <si>
    <t>Welche Brennweite besitzt das Objektiv ?</t>
  </si>
  <si>
    <t>25.</t>
  </si>
  <si>
    <t>Ein Gartenhaus mit einer Höhe von 4 m wird mit einer Kamera (f = 8 cm) aufgenommen.</t>
  </si>
  <si>
    <t>Mit welcher Bildweite wird das Bild auf der Mattscheibe 5 cm hoch?</t>
  </si>
  <si>
    <t>Wie weit steht der Fotograf vom Haus entfernt?</t>
  </si>
  <si>
    <t>Bildweite : Abbildungsmaßstab</t>
  </si>
  <si>
    <t>26.</t>
  </si>
  <si>
    <t>Ein Wohnhaus von 8 m Breite und 7 m Höhe wird mit einer Minox (f = 15 mm) aufgenommen.</t>
  </si>
  <si>
    <t>Die Abbildungsgröße kann nicht mehr als 10 x 7 mm betragen.</t>
  </si>
  <si>
    <t>Wie weit muß sich der Fotograf vom Haus entfernt aufstellen, wenn das Wohnhaus in ganzer</t>
  </si>
  <si>
    <t>Breite und Höhe aufgenommen werden soll?</t>
  </si>
  <si>
    <t>Abbildungsmaßstab höhenbezogen</t>
  </si>
  <si>
    <t>Formathöhe : Gegenstandshöhe</t>
  </si>
  <si>
    <t>1 * f  + 1/V * f</t>
  </si>
  <si>
    <t>Abbildungsmaßstab breitenbezogen</t>
  </si>
  <si>
    <t>Formatbreite : Gegenstandsbreite</t>
  </si>
  <si>
    <t>Für die vollständige Abbildung der Höhe ist ein Abstand von 1501,5 cm nötig.</t>
  </si>
  <si>
    <t>Für die vollständige Abbildung der Breite ist ein Abstand von 1201,5 cm nötig.</t>
  </si>
  <si>
    <t>Es muss der größere Abstand gewählt werden, damit beides vollständig auf dem Format sichtbar ist.</t>
  </si>
  <si>
    <t>Es muss die kleinere Abbildung, also der kleinere Abbildungsmaßstab gewählt werden.</t>
  </si>
  <si>
    <t>27.</t>
  </si>
  <si>
    <t xml:space="preserve">Welche Höhe erhält die Abbildung einer Gruppe von durchschnittlich 1,80 m </t>
  </si>
  <si>
    <t>großen Sportlern, wenn die Aufnahme in 3,5 m Entfernung gemacht wird.</t>
  </si>
  <si>
    <t>Mit einer Kamera mit Format 6 x 9 cm, Brennweite 10,5 cm.</t>
  </si>
  <si>
    <t>Mit einer Kamera mit Format 9 x 12 cm, Brennweite 15 cm.</t>
  </si>
  <si>
    <t>Mit einer Kamera mit Format 13 x 18 cm, Brennweite 21 cm.</t>
  </si>
  <si>
    <t>28.</t>
  </si>
  <si>
    <t>Ein Fabrikgebäude von 15 m Höhe wird mit einer Kamera für das Format 9 x 12 cm aufgenommen,</t>
  </si>
  <si>
    <t xml:space="preserve">dessen Objektiv eine Brennweite von 15 cm hat. Der Fotograf wählt seinen Abstand vom Gebäude so, </t>
  </si>
  <si>
    <t>dass das Bild auf der Mattscheibe 10 cm hoch wird.</t>
  </si>
  <si>
    <t>Mit welcher Gegenstandsweite wird die Aufnahme gemacht?</t>
  </si>
  <si>
    <t>Welche Bildweite ist bei dieser Aufnahme notwendig?</t>
  </si>
  <si>
    <t>1+ (1 : Abbildungsmaßstab)</t>
  </si>
  <si>
    <t>(1+ Abbildungsmaßstab) x Brennweite</t>
  </si>
  <si>
    <t>29.</t>
  </si>
  <si>
    <t>Eine Gruppe von Kindern, Größe höchstens 1,60 m, Gruppenbreite 2,20 m, wird im Format</t>
  </si>
  <si>
    <t>12 x 9 und Brennweite 15 cm aus einer Entfernung von 3,15 m aufgenommen.</t>
  </si>
  <si>
    <t>Welche Höhe und Breite erhält die Abbildung?</t>
  </si>
  <si>
    <t>Wie groß wird die Bildweite?</t>
  </si>
  <si>
    <t>Abbildungsmaßstab x Gegenstandsbreite</t>
  </si>
  <si>
    <t>farbig unterlegte Zellen dürfen verändert werden</t>
  </si>
  <si>
    <t>Motivhöhe</t>
  </si>
  <si>
    <t>Eine Brennweite plus 20 Brennweiten</t>
  </si>
  <si>
    <t>Formatfläche</t>
  </si>
  <si>
    <t>Vom Motiv nicht genutzt</t>
  </si>
  <si>
    <t>Verhältnis ungenutzt/Formatfläche</t>
  </si>
  <si>
    <t>Eine Brennweite plus 1/20 Brennweiten</t>
  </si>
  <si>
    <t>Die Abbildung hat eine Breite von 11 cm sowie eine Höhe von 8 cm.</t>
  </si>
  <si>
    <t>Die Bildweite ist 15,75 cm.</t>
  </si>
  <si>
    <t>30.</t>
  </si>
  <si>
    <t xml:space="preserve">Eine Plastik von 80 cm Höhe soll im Bild 10 cm groß werden. </t>
  </si>
  <si>
    <t>Aus räumlichen Gründen muss die Aufnahme aus 1,35 m Entfernung gemacht werden.</t>
  </si>
  <si>
    <t>Welche Brennweite muss das Objektiv haben?</t>
  </si>
  <si>
    <t>1+(1:Abb.m.)</t>
  </si>
  <si>
    <t>Aufn.abst. : Anzahl f in a</t>
  </si>
  <si>
    <t>31.</t>
  </si>
  <si>
    <t>Eine Personengruppe ist über eine Breite von 7,20 m verteilt. Sie wird mit einer Brennweite von</t>
  </si>
  <si>
    <t>13,5 cm aufgenommen. Der Aufnahmeabstand beträgt 9 m. Berechnen Sie:</t>
  </si>
  <si>
    <t>Den Abbildungsmaßstab, die Bildbreite und die Bildweite.</t>
  </si>
  <si>
    <t>1 : Abb.m.</t>
  </si>
  <si>
    <t>Abb.m. x Gegenst.breite</t>
  </si>
  <si>
    <t>(1+ Abb.m.) x Brennweite</t>
  </si>
  <si>
    <t>32.</t>
  </si>
  <si>
    <t>Eine Kamera hat ein Objektiv von 21 cm Brennweite und eine Bildweite von 50 cm.</t>
  </si>
  <si>
    <t>Welche Gegenstandsweite ist zu einer Aufnahme mindestens erforderlich?</t>
  </si>
  <si>
    <t>Welches ist der größte Abbildungsmaßstab?</t>
  </si>
  <si>
    <t>Anzahl Brennweiten minus 1 Brennweite</t>
  </si>
  <si>
    <t>Bildw : Abbm</t>
  </si>
  <si>
    <t>33.</t>
  </si>
  <si>
    <t>Gegenstandsbreite von einem Gebäude ist 26 m. Bildbreite soll 22 cm betragen.</t>
  </si>
  <si>
    <t>Brennweite ist 12 cm. Aufnahmeabstand ist 10,5 m.</t>
  </si>
  <si>
    <t>Ist die Aufnahme in der gewünscheten Verkleinerung möglich?</t>
  </si>
  <si>
    <t>Abb.m. x Geg.breite</t>
  </si>
  <si>
    <t>34.</t>
  </si>
  <si>
    <t>Ein Blumengebinde wird aus einer Entfernung von 168 cm abgebildet.</t>
  </si>
  <si>
    <t>Wie groß muss die Bildweite bei Brennweite 8 cm werden?</t>
  </si>
  <si>
    <t xml:space="preserve">Welche Bildweite müsste bei gleicher Gegenstandsweite und einem Objektiv von </t>
  </si>
  <si>
    <t>21 cm Brennweite genommen werden?</t>
  </si>
  <si>
    <t>Aufnahmeabstand : Brennweite -1</t>
  </si>
  <si>
    <t>(1+Abb.m.) x Brennweite</t>
  </si>
  <si>
    <t>35.</t>
  </si>
  <si>
    <t>Eine Elfenbeinfigur wird mit einer Bildweite von 25,2 cm fotografiert.</t>
  </si>
  <si>
    <t>Aus welcher Entfernung wird die Aufnahme bei Brennweite 21 cm und bei 10,5 cm gemacht?</t>
  </si>
  <si>
    <t>Bildweite : Brennweite -1</t>
  </si>
  <si>
    <t>Bildweite : Abb.m.</t>
  </si>
  <si>
    <t>36.</t>
  </si>
  <si>
    <t>Welche Brennweite wird bei einer Aufnahme verwendet, wenn der Originalabstand vom</t>
  </si>
  <si>
    <t>objektseitigen Brennpunkt 216 cm, der Bildabstand vom bildseitigen Brennpunkt 6 cm beträgt?</t>
  </si>
  <si>
    <t>Bildweite . Aufn.abst.</t>
  </si>
  <si>
    <t>1+(1 : Abb.m.)</t>
  </si>
  <si>
    <t>Aufn.abst. : Anz. f in a</t>
  </si>
  <si>
    <t>37.</t>
  </si>
  <si>
    <t>Bei einer Brennweite von 18 cm beträgt die Bildweite 54 cm.</t>
  </si>
  <si>
    <t>Wie groß ist die Gegenstandsweite?</t>
  </si>
  <si>
    <t>(Bildweite : Brennweite) -1</t>
  </si>
  <si>
    <t>38.</t>
  </si>
  <si>
    <t xml:space="preserve">Wie groß ist der Bildabstand bei einer Brennweite von 8 cm und </t>
  </si>
  <si>
    <t>einer Gegenstandsweite von 160 cm?</t>
  </si>
  <si>
    <t>Aufn.abst. : Brennw. -1</t>
  </si>
  <si>
    <t>(1+Abb.m.) x Brennw.</t>
  </si>
  <si>
    <t>39.</t>
  </si>
  <si>
    <t>Bei einer Aufnahme beträgt die Bildweite 24 cm, die Gegenstandsweite 168 cm.</t>
  </si>
  <si>
    <t>Welche Brennweite hat das Objektiv?</t>
  </si>
  <si>
    <t>Bildw. : Aufn.abst.</t>
  </si>
  <si>
    <t>1+(1:Abbm)</t>
  </si>
  <si>
    <t>Aufnabst : Anz f in a</t>
  </si>
  <si>
    <t>40.</t>
  </si>
  <si>
    <t>Ein Apparat mit einer Brennweite von 10,5 cm hat eine Bildweite von 12,6 cm.</t>
  </si>
  <si>
    <t>Berechnen Sie den Aufnahmeabstand.</t>
  </si>
  <si>
    <t>Bildeite : Abbm</t>
  </si>
  <si>
    <t>41.</t>
  </si>
  <si>
    <t>Mit einer Kamera von 15 cm Brennweite wird bei einer Gegenstandsweite von 26,25 cm eine</t>
  </si>
  <si>
    <t>Aufnahme gemacht. Wie groß ist die Bildweite?</t>
  </si>
  <si>
    <t>Aufnabst : Brennweite -1</t>
  </si>
  <si>
    <t>(1+Abbm) x Brennweite</t>
  </si>
  <si>
    <t>42.</t>
  </si>
  <si>
    <t>Ein Fotograf nimmt Kinder im Abstand von 252 cm auf.</t>
  </si>
  <si>
    <t>Welche Brennweite hat das Objektiv bei einer Bildweite von 42 cm?</t>
  </si>
  <si>
    <t>Welche Bildweite wird bei gleichem Objektiv und einem Aufnahmeabstand von 360 cm?</t>
  </si>
  <si>
    <t>Bildweite : Aufnabst</t>
  </si>
  <si>
    <t>1+(1 : Abbm)</t>
  </si>
  <si>
    <t>Aufnabst : Brennw -1</t>
  </si>
  <si>
    <t>1 : Abbm</t>
  </si>
  <si>
    <t>(1+Abbm) x Brennw</t>
  </si>
  <si>
    <t>43.</t>
  </si>
  <si>
    <t>Welches Objektiv muss für eine Verkleinerung auf 1/4 verwendet werden,</t>
  </si>
  <si>
    <t>wenn die Bildweite 30 cm misst?</t>
  </si>
  <si>
    <t>Bildweite : Abbm</t>
  </si>
  <si>
    <t>44.</t>
  </si>
  <si>
    <t>Bei einer Aufnahme wird die Kopfgröße einer Person von 25 cm auf 5 cm verkleinert.</t>
  </si>
  <si>
    <t>Die Brennweite des Objektivs beträgt 13,5 cm.</t>
  </si>
  <si>
    <t>Aus welcher Entfernung muss die Aufnahme gemacht werden?</t>
  </si>
  <si>
    <t>Wieviel cm beträgt die Bildweite?</t>
  </si>
  <si>
    <t>:1</t>
  </si>
  <si>
    <t>Brennw x Anz f in a</t>
  </si>
  <si>
    <t>45.</t>
  </si>
  <si>
    <t>Eine Personengruppe mit einer Breite von 4,5 m soll in der Größe von 22,5 cm aufgenommen werden.</t>
  </si>
  <si>
    <t>Der Apparat hat ein Objektiv mit einer Brennweite von 13,5 cm.</t>
  </si>
  <si>
    <t>In welcher Entfernung muss sich der Fotograf aufstellen?</t>
  </si>
  <si>
    <t>Bildbreite : Geg.breite</t>
  </si>
  <si>
    <t>Brennweite x Anz f in a</t>
  </si>
  <si>
    <t>46.</t>
  </si>
  <si>
    <t>Die Breitwand eines Gästezimmers in der Ausdehnung von 6,30 m soll im Negativ 9 cm breit werden.</t>
  </si>
  <si>
    <t xml:space="preserve">Der Apparat wird in einer Entfernung von 7,10 m aufgestellt. </t>
  </si>
  <si>
    <t>Welche Brennweite muss des Objektiv haben?</t>
  </si>
  <si>
    <t>1+(1/Abbm)</t>
  </si>
  <si>
    <t>47.</t>
  </si>
  <si>
    <t>Berechnen Sie die Unbekannten:</t>
  </si>
  <si>
    <t>Anz f in a</t>
  </si>
  <si>
    <t>Abbm x Geghöhe</t>
  </si>
  <si>
    <t>(1+Abbm)xBrennw</t>
  </si>
  <si>
    <t>Bildhöhe : Abbm</t>
  </si>
  <si>
    <t>Aufnabst:Anz f in a</t>
  </si>
  <si>
    <t>Bildh : Gegenhöhe</t>
  </si>
  <si>
    <t>48.</t>
  </si>
  <si>
    <t>Eine Vergrößerung im Format 28 x 38,5 cm wurde bei einer Gegenstandsweite von 14 cm und</t>
  </si>
  <si>
    <t>einer Bildweite von 49 cm hergestellt. Welches Format hatte das Original?</t>
  </si>
  <si>
    <t>Bildbreite : Abbm</t>
  </si>
  <si>
    <t>49.</t>
  </si>
  <si>
    <t>Von einem Negativ 24 x 36 mm soll eine Vergrößerung im Format 14,4 x 21,6 cm angefertigt</t>
  </si>
  <si>
    <t>werden. Die Bildweite ist 8 cm.</t>
  </si>
  <si>
    <t>Wie groß ist die Gegenstandsweite, also der Abstand zwischen Negativ und Objektiv (HE)?</t>
  </si>
  <si>
    <t>Negativhöhe</t>
  </si>
  <si>
    <t>Negativhöhe : Formathöhe</t>
  </si>
  <si>
    <t>50.</t>
  </si>
  <si>
    <t>Ein Negativ 24 x 36 mm soll vergrößert werden. Welches Format erhält die Vergrößerung,</t>
  </si>
  <si>
    <t>wenn die Bildweite 12 cm und der Aufnahmeabstand 30 cm beträgt?</t>
  </si>
  <si>
    <t>Negativhöhe : Abbm</t>
  </si>
  <si>
    <t>Negativbreite : Abbm</t>
  </si>
  <si>
    <t>51.</t>
  </si>
  <si>
    <t>Ein Negativ 6 x 9 cm wird auf 30 x 45 cm vergrößert. Die Bildweite beträgt 12 cm.</t>
  </si>
  <si>
    <t>Wie groß ist der Aufnahmeabstand.</t>
  </si>
  <si>
    <t>52.</t>
  </si>
  <si>
    <t>Ein Passbild 3,2 x 4,8 cm wird auf 12,8 x 19,2 cm vergrößert. Der Aufnahmeabstand beträgt</t>
  </si>
  <si>
    <t>48 cm. Wie groß ist die Bildweite?</t>
  </si>
  <si>
    <t>Passbildhöhe</t>
  </si>
  <si>
    <t>Passbildbreite</t>
  </si>
  <si>
    <t>Passbildhöhe : Formathöhe</t>
  </si>
  <si>
    <t>1+1:Abbm</t>
  </si>
  <si>
    <t>Aufnabst : Anzahl f in a</t>
  </si>
  <si>
    <t>53.</t>
  </si>
  <si>
    <t>Von einem Negativ 7 x 10 mm ist eine Vergrößerung auf 6,9 x 12,7 cm zu machen.</t>
  </si>
  <si>
    <t>Die Brennweite beträgt 16,5 cm. Welche Bildweite und welcher Aufnahmeabstand entsteht?</t>
  </si>
  <si>
    <t>54.</t>
  </si>
  <si>
    <t>Ein Kleinbildnegativ 24 x 36 mm ist auf 18 x 24 cm zu vergrößern, wobei auf die Breite eingestellt wird.</t>
  </si>
  <si>
    <t>Die Vergrößerung ist mit einer Brennweite von 16,5 cm herzustellen.</t>
  </si>
  <si>
    <t>Wieviel cm fallen in der Höhe weg?</t>
  </si>
  <si>
    <t>Wie groß ist der Aufnahmeabstand?</t>
  </si>
  <si>
    <t>Negativbreite : Formatbreite</t>
  </si>
  <si>
    <t>1+1/Abbm</t>
  </si>
  <si>
    <t>Abbm x Negativhöhe</t>
  </si>
  <si>
    <t>Für eine Aufnahme mit f = 12 cm und Blende 16 wird auf 6 m scharf eingestellt</t>
  </si>
  <si>
    <t>Berechnen Sie den Abstand des Nahpunktes und Fernpunktes der Schärfentiefe</t>
  </si>
  <si>
    <t>(Schärfentoleranz/zulässiger Zerstreuungskreisdurchmesser = u = 0,1 mm)</t>
  </si>
  <si>
    <t>Schärfetoleranz u</t>
  </si>
  <si>
    <t>hyperfokale Distanz hypD</t>
  </si>
  <si>
    <t>f ² /u*k</t>
  </si>
  <si>
    <t>(hypD * a) / (hypD + (a - f))</t>
  </si>
  <si>
    <t>(hypD * a) / (hypD - (a - f))</t>
  </si>
  <si>
    <t>Fernpunkt = (Hyp. Distanz * Gegenstandsweite) / (Hyp. Distanz - (Gegenstandsweite - Brennweite))</t>
  </si>
  <si>
    <t>Nahpunkt = (Hyp. Distanz * Gegenstandsweite) / (Hyp. Distanz + (Gegenstandsweite - Brennweite))</t>
  </si>
  <si>
    <t>Negative Werte entstehen bei der Fernpunkt-Berechnung, wenn die hyperfokale Distanz kleiner ist als die eingestellte Aufnahmeentfernung (Schärfeebenen-Abstand)</t>
  </si>
  <si>
    <t>Welche Entfernung muss man bei einem 50 mm-Objektiv einstellen,</t>
  </si>
  <si>
    <t>damit die Schärfentiefe immer bis Unendlich reicht? Geben Sie die</t>
  </si>
  <si>
    <t>eingestellte Meterzahl für alle Blenden von 2 bis 22 an.</t>
  </si>
  <si>
    <t>Hyperfokale Distanz = (Brennweite)^2 / (Schärfetoleranz * Blendenzahl)</t>
  </si>
  <si>
    <t>Schärfetoleranz = Zerstreuungskreisdurchmesser</t>
  </si>
  <si>
    <t>Brennweite f in mm:</t>
  </si>
  <si>
    <t>Kleinbild</t>
  </si>
  <si>
    <t>Blendenzahlen k:</t>
  </si>
  <si>
    <t xml:space="preserve"> =wenn(Bedingung;Anzeige für Bedingung erfüllt;Anzeige für Bedingung nicht erfüllt)</t>
  </si>
  <si>
    <t>Alle Texteingaben in Gänsefüßchen, alles andere ohne</t>
  </si>
  <si>
    <r>
      <t xml:space="preserve"> =wenn(</t>
    </r>
    <r>
      <rPr>
        <sz val="10"/>
        <color indexed="12"/>
        <rFont val="Arial"/>
        <family val="2"/>
      </rPr>
      <t>Bedingung1</t>
    </r>
    <r>
      <rPr>
        <sz val="10"/>
        <rFont val="Arial"/>
        <family val="2"/>
      </rPr>
      <t>;Anzeige für Bedingung erfüllt;</t>
    </r>
    <r>
      <rPr>
        <sz val="10"/>
        <color indexed="12"/>
        <rFont val="Arial"/>
        <family val="2"/>
      </rPr>
      <t>wenn(Bedingung2;Anzeige für Bedingung erfüllt;Anzeige für Bedingung nicht erfüllt</t>
    </r>
    <r>
      <rPr>
        <sz val="10"/>
        <rFont val="Arial"/>
        <family val="2"/>
      </rPr>
      <t>))</t>
    </r>
  </si>
  <si>
    <t>Berechnen Sie den Nahpunkt- und den Fernpunktabstand, die Schärfentiefezone</t>
  </si>
  <si>
    <t>sowie die Verteilung der Schärfentiefe vor und hinter der Schärfeebene für folgende Angaben:</t>
  </si>
  <si>
    <t>Nahpunkt-Abstand</t>
  </si>
  <si>
    <t>Fernpunkt-Abstand</t>
  </si>
  <si>
    <t>Schärfentiefezone</t>
  </si>
  <si>
    <t>Sch.-tiefe vor Schärfeebene</t>
  </si>
  <si>
    <t>Sch.-tiefe hinter Schärfeebene</t>
  </si>
  <si>
    <t>Verteilung vor/hinter Schärfeebene</t>
  </si>
  <si>
    <t xml:space="preserve"> 1 zu 1,1</t>
  </si>
  <si>
    <t xml:space="preserve"> 1 zu 1,24</t>
  </si>
  <si>
    <t xml:space="preserve"> 1 zu 1,59</t>
  </si>
  <si>
    <t xml:space="preserve"> 1 zu 2,07</t>
  </si>
  <si>
    <t xml:space="preserve"> 1 zu 3,85</t>
  </si>
  <si>
    <t xml:space="preserve">Berechnen Sie den Nahpunkt- und Fempunktabstand sowie die Ausdehnung der Schärfentiefezone, </t>
  </si>
  <si>
    <t xml:space="preserve">wenn für eine Aufnahme mit einem Objektiv (f = 12 cm) von 4 auf 16 abgeblendet wird. </t>
  </si>
  <si>
    <t>Die Einstellentfernung von 8 m und die Schärfetoleranz 0,1 mm sollen unverändert bleiben.</t>
  </si>
  <si>
    <t>hyperfokale Distanz</t>
  </si>
  <si>
    <t>Schärfentiefe-Ausdehung</t>
  </si>
  <si>
    <t>andere Formel verwendet:</t>
  </si>
  <si>
    <t>Wertetabelle für Diagramm:</t>
  </si>
  <si>
    <t xml:space="preserve">Für eine Kamera mit einem Objektiv von 8 cm Brennweite ist für die Schärfetoleranz 0,03 mm bei </t>
  </si>
  <si>
    <t xml:space="preserve">Blende 8 für die Einstellentfernung 1 m, 3 m, 5 m, 7 m, 10 m, 20 m, 30 m Beginn und Ende </t>
  </si>
  <si>
    <t>der Schärfentiefe zu berechnen.</t>
  </si>
  <si>
    <t>Schärfentiefe-Ausdehung (Fern-Nah)</t>
  </si>
  <si>
    <t xml:space="preserve">Stellen Sie eine Schärfentiefe-Tabelle für folgende Daten auf: f = 50 mm, Schärfetoleranz = 0,03 mm. </t>
  </si>
  <si>
    <t xml:space="preserve">In der ersten senkrechten Spalte soll die Einstellentfernung 1 m, 1,5 m, 2 m, 3 m, 4 m, 5 m, 6 m, 10 m, 20 m </t>
  </si>
  <si>
    <t xml:space="preserve">untereinander stehen, waagerecht sollen die Blenden eingetragen werden: 2,8; 4; 5,6; 8; 11; 16; 22; 32; 45. </t>
  </si>
  <si>
    <t>Berechnen Sie die Nahpunkt- und Fernpunktabstände jeweils für die Einstellentfernung und Blende.</t>
  </si>
  <si>
    <t xml:space="preserve">Durch geschicktes Fixieren der Zellbezüge mit $ muss man nur zwei Zellen mit Formeln füllen. </t>
  </si>
  <si>
    <t>Die restlichen Zellen der Tabelle können dann durch Kopieren gefüllt werden.</t>
  </si>
  <si>
    <t>Hyp. Distanz in mm</t>
  </si>
  <si>
    <t>Schärfeeinstellung</t>
  </si>
  <si>
    <t>Nah</t>
  </si>
  <si>
    <t>Fern</t>
  </si>
  <si>
    <t>Was bedeuten negative Ergebnisse?</t>
  </si>
  <si>
    <t>Die hyperfokale Distanz muss bei der Berechnung von Nah- und Fernpunkt größer als (Gegenstandsweite-</t>
  </si>
  <si>
    <t>Brennweite) sein, sonst ergibt sich kein brauchbares Ergebnis (Wert ist negativ), d. h. die Schärfentiefe</t>
  </si>
  <si>
    <t>(Fernpunkt) darf rechnerisch nicht über Unendlich hinaus gehen. Statt des negativen Zahlenwertes</t>
  </si>
  <si>
    <t>könnte man auch "Unendlich" eintragen ( =wenn(Berechnungsformel&lt;0;"Unendlich";Berechnungsformel)</t>
  </si>
  <si>
    <t>Berechnen Sie die Gegenstandsweite a und die Blende k für nachfolgende Angaben:</t>
  </si>
  <si>
    <t xml:space="preserve">        </t>
  </si>
  <si>
    <t>Brenn-</t>
  </si>
  <si>
    <t>Schärfen-</t>
  </si>
  <si>
    <t>Nahpunkt-</t>
  </si>
  <si>
    <t>Fempunkt-</t>
  </si>
  <si>
    <t>toleranz</t>
  </si>
  <si>
    <t>abstand</t>
  </si>
  <si>
    <t>e)</t>
  </si>
  <si>
    <t xml:space="preserve">Ein Blumenbeet von 5 m Durchmesser ist aus 6 m Entfernung, vom vorderen Beetrand aus gemessen, </t>
  </si>
  <si>
    <t xml:space="preserve">mit einer Kamera (f = 12 cm) aufzunehmen. Berechnen Sie die günstigste Einstellentfernung </t>
  </si>
  <si>
    <t>und Blende. (Schärfetoleranz u = 0,1 mm.)</t>
  </si>
  <si>
    <t>Einstellentfernung/Aufnahmeabstand</t>
  </si>
  <si>
    <t xml:space="preserve">In einer Fabrikhalle ist eine Maschinengruppe aufzunehmen Jede Maschine hat eine Tiefe von 1,5 Metern. </t>
  </si>
  <si>
    <t xml:space="preserve">Die Kamera hat eine Brennweite f von 5 cm. Die Entfernung vom Objektiv bis zur Front der vordersten </t>
  </si>
  <si>
    <t>Maschine beträgt 3 m, bis zur hintersten Kante der hintersten Maschine 6 m.</t>
  </si>
  <si>
    <t xml:space="preserve">a) Welche notwendige Blende errechnet sich bei Verwendung des Planfilm-Formats (Schärfetoleranz  0,1 mm) </t>
  </si>
  <si>
    <t>und welche bei Verwendung des Kleinbild-Formats (0,03 mm)?</t>
  </si>
  <si>
    <t>b) Auf welche Distanz muss die Schärfeebene gelegt werden?</t>
  </si>
  <si>
    <t>Schärfeebenen-Abstand</t>
  </si>
  <si>
    <t xml:space="preserve">Ein Ausstellungsstand mit einer Raumtiefe von 4 Metern soll mit einer Kamera mit einer </t>
  </si>
  <si>
    <t>Brennweite von 8 cm aus 2 Metern Entfernung von der vorderen Kante aufgenommen werden.</t>
  </si>
  <si>
    <t>Auf welche Entfernung muss die Schärfeebene gelegt werden?</t>
  </si>
  <si>
    <t>Welche Blende bringt bei einer Schärfetolerenz von 0,1 mm die notwendige Schärfentiefe?</t>
  </si>
  <si>
    <t>Raumtiefe</t>
  </si>
  <si>
    <t>Schärfenebenenabstand</t>
  </si>
  <si>
    <t>Blendenzahl für Schärfentiefe</t>
  </si>
  <si>
    <t xml:space="preserve">Die Kamera steht in einem Abstand von 5 Metern vor einer Schaufensterscheibe. Dahinter befindet sich eine Auslage mit </t>
  </si>
  <si>
    <t>einer Tiefe  von 2 Metern.</t>
  </si>
  <si>
    <t>a) Auf welchen Punkt innerhalb der Schaufensterauslage muss eingestellt werden, um die volle Schärfentiefe zu erreichen?</t>
  </si>
  <si>
    <t>b) Welche größtmögliche Blende erzeugt den gewünschten Schärfentiefebereich, wenn die Schärfetoleranz 0,1 mm betragen</t>
  </si>
  <si>
    <t>soll und die Kamera eine Brennweite f von 5 cm besitzt?</t>
  </si>
  <si>
    <t xml:space="preserve">Mit einer Kamera 1:2,8/135 mm wird ein Kopfbild von vorn aufgenommen. Die Entfernung des Objektivs </t>
  </si>
  <si>
    <t>zur Nasenspitze beträgt 1,45 m; das Ohr liegt 10 cm hinter der Nasenspitze. Die  Schärfetoleranz ist 0,1 mm.</t>
  </si>
  <si>
    <t>a) Auf welche Entfernung ist einzustellen, um Nase und Ohr gleich scharf abzubilden?</t>
  </si>
  <si>
    <t>b) Welche günstige Blende lässt sich aus diesen Daten errechnen?</t>
  </si>
  <si>
    <t>Mit einer Kamera 1 : 5,6/135 mm wird ein Kopfbild von vorn aufgenommen.</t>
  </si>
  <si>
    <t>Die Entfernung des Objektivs zur Nasenspitze beträgt 1,45 m, das Ohr liegt</t>
  </si>
  <si>
    <t>10 cm hinter der Nasenspitze. Die Schärfetoleranz ist 0,05 mm</t>
  </si>
  <si>
    <t>a) Auf welche Entfernung muss die Schärfe eingestellt werden, um Nase und</t>
  </si>
  <si>
    <t>Ohr gleich scharf abzubilden?</t>
  </si>
  <si>
    <t>Die Schärfe muss auf 1,498 Meter, die Blende auf 8,109 eingestellt werden.</t>
  </si>
  <si>
    <t>Verhältnisse bei der optischen Abbildung:</t>
  </si>
  <si>
    <t>eines Kreises verändert werden muss, damit sich die Kreisfläche jeweils a) halbiert, b) verdoppelt.</t>
  </si>
  <si>
    <t>Umfang:</t>
  </si>
  <si>
    <t>Innendurchmesser</t>
  </si>
  <si>
    <t>spezifische Dichte</t>
  </si>
  <si>
    <t>Grundfläche</t>
  </si>
  <si>
    <t>Höhe Spule</t>
  </si>
  <si>
    <t>Volumen bei Höhe Spule</t>
  </si>
  <si>
    <t>Gewicht</t>
  </si>
  <si>
    <t>Gramm</t>
  </si>
  <si>
    <t>Zusammenhang zwischen Aufnahmeabstand (Gegenstandsweite) a, Bildweite a', Brennweite f und Abbildungsgröße V</t>
  </si>
  <si>
    <t>Je nach gegebenen Werten (siehe gelb markierte Felder), muss das passende Modul ausgewählt werden.</t>
  </si>
  <si>
    <t>Eine Zeitrafffer-Aufnahme soll 0,5 Stunden realer Zeit auf 3 Minuten komprimieren (raffen).</t>
  </si>
  <si>
    <t>Beispiel-Aufgabe:</t>
  </si>
  <si>
    <t>Inhaltsverzeichnis</t>
  </si>
  <si>
    <t>Hinweise</t>
  </si>
  <si>
    <t>Formelsammlung</t>
  </si>
  <si>
    <t>Formeln schreiben</t>
  </si>
  <si>
    <t>Antwortsätze schreiben</t>
  </si>
  <si>
    <t>Winkel berechnen</t>
  </si>
  <si>
    <t>Rechteck</t>
  </si>
  <si>
    <t>Dreieck</t>
  </si>
  <si>
    <t>Papierformat-Nutzen</t>
  </si>
  <si>
    <t>Quader</t>
  </si>
  <si>
    <t>Mischung</t>
  </si>
  <si>
    <t>Hilfslinien 1</t>
  </si>
  <si>
    <t>Hilfslinien 2</t>
  </si>
  <si>
    <t>Auflösung_ppi_dpi</t>
  </si>
  <si>
    <t>Licht-Wellenlänge-Frequenz</t>
  </si>
  <si>
    <t>Reflektionsgesetz</t>
  </si>
  <si>
    <t>Projektion-Leitzahl</t>
  </si>
  <si>
    <t>Öffnungsverhältnis-Blende</t>
  </si>
  <si>
    <t>Blenden-Zeiten-Belicht.-Reihen</t>
  </si>
  <si>
    <t>Polarisation</t>
  </si>
  <si>
    <t>Interferenz</t>
  </si>
  <si>
    <t>Brechung</t>
  </si>
  <si>
    <t>Brechung Prisma</t>
  </si>
  <si>
    <t>Brechung-Wölbung</t>
  </si>
  <si>
    <t>V_a_a'_f</t>
  </si>
  <si>
    <t>Opt. Rechnen_Varianten</t>
  </si>
  <si>
    <t>Belichtung-Bildweite</t>
  </si>
  <si>
    <t>Abb.-maßstab-Brennweite</t>
  </si>
  <si>
    <t>Bildwinkel_-kreis_Sensorgröße</t>
  </si>
  <si>
    <t>Bildkreis-Shift</t>
  </si>
  <si>
    <t>Lichtabfall im Bildkreis</t>
  </si>
  <si>
    <t>projektive Verzeichnung</t>
  </si>
  <si>
    <t>Scheimpflug</t>
  </si>
  <si>
    <t>Auge Scharfsehen</t>
  </si>
  <si>
    <t>Zerstreuungskreis</t>
  </si>
  <si>
    <t>Digitalisieren</t>
  </si>
  <si>
    <t>Zins-Kredit</t>
  </si>
  <si>
    <t>Datenbank nutzen</t>
  </si>
  <si>
    <t>Zeitraffer</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</si>
  <si>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</si>
  <si>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</si>
  <si>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</si>
  <si>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</si>
  <si>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</si>
  <si>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</si>
  <si>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</si>
  <si>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</si>
  <si>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</si>
  <si>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</si>
  <si>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</si>
  <si>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</si>
  <si>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</si>
  <si>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</si>
  <si>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</si>
  <si>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</si>
  <si>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</si>
  <si>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</si>
  <si>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</si>
  <si>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</si>
  <si>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</si>
  <si>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</si>
  <si>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</si>
  <si>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</si>
  <si>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</si>
  <si>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</si>
  <si>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</si>
  <si>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</si>
  <si>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</si>
  <si>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</si>
  <si>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</si>
  <si>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</si>
  <si>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</si>
  <si>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</si>
  <si>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</si>
  <si>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</si>
  <si>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</si>
  <si>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</si>
  <si>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</si>
  <si>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</si>
  <si>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</si>
  <si>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</si>
  <si>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</si>
  <si>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</si>
  <si>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</si>
  <si>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</si>
  <si>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</si>
  <si>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</si>
  <si>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</si>
  <si>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</si>
  <si>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</si>
  <si>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</si>
  <si>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</si>
  <si>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</si>
  <si>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</si>
  <si>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A-55a</t>
  </si>
  <si>
    <t>A-56</t>
  </si>
  <si>
    <t>A58</t>
  </si>
  <si>
    <t>A-59</t>
  </si>
  <si>
    <t>A-60</t>
  </si>
  <si>
    <t>A-61</t>
  </si>
  <si>
    <t>A-62</t>
  </si>
  <si>
    <t>A-63</t>
  </si>
  <si>
    <t>A-64</t>
  </si>
  <si>
    <t>A-65</t>
  </si>
  <si>
    <t>A-66</t>
  </si>
  <si>
    <t>A-67</t>
  </si>
  <si>
    <t>A-68</t>
  </si>
  <si>
    <t>Aufgaben und Lösungswerte, ohne Formeln. Erstellen Sie die passenden Formeln selbst!</t>
  </si>
  <si>
    <t>Erläuterungen, Aufgaben und Lösungswerte, mit Formeln.</t>
  </si>
  <si>
    <t>Bitte Text klicken, um auf das entsprechende Tabellenblatt zu gelangen.</t>
  </si>
  <si>
    <t>Oder ganz unten das Blatt selbst auswählen.</t>
  </si>
  <si>
    <t>Autor: Wolfgang Kilian, Kontakt: wkilian-bi@web.de</t>
  </si>
  <si>
    <t>Die Erläuterungen und Lösungen sind nach bestem Wissen und mit Sorgfalt erstellt.</t>
  </si>
  <si>
    <t>damit die Datei korrigiert werden kann.</t>
  </si>
  <si>
    <t xml:space="preserve">Sollte sich dennoch ein Fehler eingeschlichen haben, bitte ich um Meldung, </t>
  </si>
  <si>
    <t>Die Aufgaben wurden für den Unterricht der</t>
  </si>
  <si>
    <t>Auszubildenden im Bereich Fotografie am</t>
  </si>
  <si>
    <t>Berufskolleg Senne in Bielefeld entwickelt.</t>
  </si>
  <si>
    <t>Ich hoffe, dass das Material vielen Menschen beim Lernen hilft.</t>
  </si>
  <si>
    <t>Hinweis: Keine Zelle ist geschützt. Achten Sie darauf, dass Formeln</t>
  </si>
  <si>
    <t>nicht versehentlich überschrieben werden. Ob eine Formel in einer</t>
  </si>
  <si>
    <t xml:space="preserve">Zelle vorhanden ist, sieht man nach Auswahl einer Zelle am Inhalt der </t>
  </si>
  <si>
    <t>Eingabezeile von Excel, die sich unterhalb des Menü-Bandes befindet.</t>
  </si>
  <si>
    <t xml:space="preserve">Weil es zu vielen Aufgaben keine ausführlichen Erläuterungen gibt, muss man sich fehlende </t>
  </si>
  <si>
    <t xml:space="preserve">Informationen bei sachkundigen Menschen oder im Internet (z. B. Wikipedia) selbst holen. </t>
  </si>
  <si>
    <t xml:space="preserve">Eine Berechnung kann immer nachvollzogen werden, wenn man jede Zelle mit Formel </t>
  </si>
  <si>
    <t xml:space="preserve">aktiviert und die in der Eingabezeile von Excel stehende Formel analysiert. Ein Klick in die </t>
  </si>
  <si>
    <t>Eingabezeile markiert die verwendeten Zellen im Tabellenblatt.</t>
  </si>
  <si>
    <t>Die hyperfokale Distanz ist die Einstellung der Schärfeebene (Gegenstandsweite a), bei der die</t>
  </si>
  <si>
    <t>Schärfentiefe bis Unendlich reicht und etwa bei halber Aufnahmedistanz beginnt (bei gegebener Blende).</t>
  </si>
  <si>
    <t>Verteilung vor und hinter der Schärfeebene:</t>
  </si>
  <si>
    <t>Hyperfokale Distanz, mm</t>
  </si>
  <si>
    <t>Unschärfekreis u, Schärfetoleranz</t>
  </si>
  <si>
    <t>Die Schärfetoleranz oder Unschärfekreisdurchmesser gibt die max. Durchmesser von Bildpunktflächen an, um als scharfer Punkt gesehen zu werden.</t>
  </si>
  <si>
    <t>Schärfetoleranz, Unschärfekreis, u</t>
  </si>
  <si>
    <t>Format</t>
  </si>
  <si>
    <t xml:space="preserve"> Kleinbild 24x36</t>
  </si>
  <si>
    <t>Quelle: Wikipedia.org</t>
  </si>
  <si>
    <t>APS-C 22,2x14,8</t>
  </si>
  <si>
    <t>MFT 17,3x13,0</t>
  </si>
  <si>
    <t>1 Zoll 13,2x8,8</t>
  </si>
  <si>
    <t>Crop-Faktor</t>
  </si>
  <si>
    <t>Toleranz</t>
  </si>
  <si>
    <t>Schärfe-</t>
  </si>
  <si>
    <t>Welche Rolle spielt das Aufnahmeformat?</t>
  </si>
  <si>
    <t>Die Schärfetoleranz ist bei kleinen Formaten geringer, weil mehr vergrößert werden muss,</t>
  </si>
  <si>
    <t>um ein gleich großes Endbild zu erhalten. Der Toleranzwert ändert sich mit dem Änderungsfaktor der Formatdiagonalen.</t>
  </si>
  <si>
    <t>Toleranzwert wird über Formatdiagonale (Crop-Faktor) angepasst</t>
  </si>
  <si>
    <t>Ausdehnung vor zu hinter Schärfeebene</t>
  </si>
  <si>
    <t>Mittel 56x56</t>
  </si>
  <si>
    <t>Schärfentiefezone in Abhängigkeit von der Blendenzahl, dem Aufnahmeabstand und der Schärfetoleranz (zulässiger Zerstreuungskreis-Durchmesser)</t>
  </si>
  <si>
    <t>Verteilung der Schärfentiefe vor und hinter der Schärfeebene</t>
  </si>
  <si>
    <t>Quelle: https://www.wirsindheller.de/Lumen-zu-Lux-Umrechnung.128.0.html#wshberechnung</t>
  </si>
  <si>
    <t>Lumen ist der Lichtstrom, der von einer Lampe in alle Richtungen ausgesendet wird.</t>
  </si>
  <si>
    <t>Also das komplette Licht, das nach allen Richtungen abgestrahlt wird.</t>
  </si>
  <si>
    <t>Beleuchtungsstärke ist das Licht, das an jedem Punkt einer Fläche effektiv ankommt. Angegeben wird dieses in Lux.</t>
  </si>
  <si>
    <t>Dies hängt einerseits davon ab, wie breit das Licht verteilt wird (Abstrahlwinkel) und wie weit die Lichtquelle entfernt ist.</t>
  </si>
  <si>
    <t>Errechnen Sie mit Hilfe von Abstrahlwinkel und Abstand die Größe des Lichtkegels auf einer Fläche.</t>
  </si>
  <si>
    <t>Errechnen Sie die Beleuchtungsstärke (Lux) mittels Lumen, Abstrahlwinkel und Beleuchtungsabstand.</t>
  </si>
  <si>
    <t>Abstrahlwinkel in Grad</t>
  </si>
  <si>
    <t>Abstand der Lichtquelle in cm</t>
  </si>
  <si>
    <t>Durchmesser der Fläche in cm</t>
  </si>
  <si>
    <t>Radius der Fläche in cm</t>
  </si>
  <si>
    <t>Flächeninhalt in cm²</t>
  </si>
  <si>
    <t>Tagens halber Abstrahlwinkel</t>
  </si>
  <si>
    <t>halber Winkel im Bogenmaß</t>
  </si>
  <si>
    <t>Hilfen zu Berechnung von Winkeln befinden</t>
  </si>
  <si>
    <t>sich auf dem Tabellenblatt "Winkel"</t>
  </si>
  <si>
    <t>Lichtleistung in Lumen</t>
  </si>
  <si>
    <t>lm</t>
  </si>
  <si>
    <t>Flächeninhalt in m²</t>
  </si>
  <si>
    <t>Lichtstärke (Candela, cd)</t>
  </si>
  <si>
    <t>Raumwinkel, Steradiant</t>
  </si>
  <si>
    <t>sr</t>
  </si>
  <si>
    <t>cd</t>
  </si>
  <si>
    <t>lx</t>
  </si>
  <si>
    <t>Radius der Fläche in m</t>
  </si>
  <si>
    <t>Durchmesser der Fläche in m</t>
  </si>
  <si>
    <t>Beleuchtungsstärke (Lux, lx)</t>
  </si>
  <si>
    <t>Lumen = Steradiant * Candela</t>
  </si>
  <si>
    <t>Lux = Lumen / beleucht. Fläche</t>
  </si>
  <si>
    <t>Raumwinkel = beleucht. Fläche/ Bel.-abstand hoch 2</t>
  </si>
  <si>
    <t>Heller Sonnentag</t>
  </si>
  <si>
    <t>100.000 lx</t>
  </si>
  <si>
    <t>Bedeckter Sommertag</t>
  </si>
  <si>
    <t>20.000 lx</t>
  </si>
  <si>
    <t>Mindestanforderung für dentale Behandlungsleuchten[6]</t>
  </si>
  <si>
    <t>15.000 lx</t>
  </si>
  <si>
    <t>Im Schatten im Sommer</t>
  </si>
  <si>
    <t>10.000 lx</t>
  </si>
  <si>
    <t>Bedeckter Wintertag</t>
  </si>
  <si>
    <t>3.500 lx</t>
  </si>
  <si>
    <t>Fußballstadion Kategorie 4 (Elite-Fußballstadion)</t>
  </si>
  <si>
    <t>1.400 lx</t>
  </si>
  <si>
    <t>Beleuchtung TV-Studio</t>
  </si>
  <si>
    <t>1.000 lx</t>
  </si>
  <si>
    <t>Büro-/Zimmerbeleuchtung</t>
  </si>
  <si>
    <t>500 lx</t>
  </si>
  <si>
    <t>Flurbeleuchtung</t>
  </si>
  <si>
    <t>100 lx</t>
  </si>
  <si>
    <t>Wohnzimmer[7]</t>
  </si>
  <si>
    <t>50 lx</t>
  </si>
  <si>
    <t>Straßenbeleuchtung</t>
  </si>
  <si>
    <t>10 lx</t>
  </si>
  <si>
    <t>Kerze ca. 1 Meter entfernt</t>
  </si>
  <si>
    <t>1 lx</t>
  </si>
  <si>
    <t>Vollmondnacht[8]</t>
  </si>
  <si>
    <t>0,05–0,36 lx</t>
  </si>
  <si>
    <t>Sternklarer Nachthimmel (Neumond)</t>
  </si>
  <si>
    <t>0,001 lx</t>
  </si>
  <si>
    <t>Bewölkter Nachthimmel ohne Mond und Fremdlichter</t>
  </si>
  <si>
    <t>0,00013 lx</t>
  </si>
  <si>
    <t>Quelle: rechneronline.de</t>
  </si>
  <si>
    <t>Alltägliche Beleuchtungsstärken</t>
  </si>
  <si>
    <t>Abstand der Lichtquelle, Kugelradius r in m</t>
  </si>
  <si>
    <t>kanonischer Raumwinkel =  2 * pi() * (1-cos(halber Winkel))</t>
  </si>
  <si>
    <t>Tangens halber Abstrahlwinkel</t>
  </si>
  <si>
    <t>kanonischer Raumwinkel (Kreis-Kegel)</t>
  </si>
  <si>
    <t>Raumwinkel (Kegel mit gewölbter Grundfläche)</t>
  </si>
  <si>
    <t>Lumen-Lux-Candela</t>
  </si>
  <si>
    <t xml:space="preserve"> -</t>
  </si>
  <si>
    <t>00101101</t>
  </si>
  <si>
    <t xml:space="preserve"> /</t>
  </si>
  <si>
    <t>00101111</t>
  </si>
  <si>
    <t>freie Eingabe</t>
  </si>
  <si>
    <t>:</t>
  </si>
  <si>
    <t>00111010</t>
  </si>
  <si>
    <t>In einer Stellenanzeige war folgender Binärcode zu sehen. Was steht da?</t>
  </si>
  <si>
    <t>Lösung mit Hilfe der Module oben auf der Seite</t>
  </si>
  <si>
    <t>in der ASCII-Übersetzungstabelle dem Zeichen:</t>
  </si>
  <si>
    <r>
      <t xml:space="preserve"> Übersetzungstabelle</t>
    </r>
    <r>
      <rPr>
        <b/>
        <sz val="10"/>
        <rFont val="Arial"/>
        <family val="2"/>
      </rPr>
      <t xml:space="preserve"> (Bereichsname: ascii)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</si>
</sst>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8" formatCode="#,##0.00\ &quot;€&quot;;[Red]\-#,##0.00\ &quot;€&quot;"/>
    <numFmt numFmtId="44" formatCode="_-* #,##0.00\ &quot;€&quot;_-;\-* #,##0.00\ &quot;€&quot;_-;_-* &quot;-&quot;??\ &quot;€&quot;_-;_-@_-"/>
    <numFmt numFmtId="43" formatCode="_-* #,##0.00\ _€_-;\-* #,##0.00\ _€_-;_-* &quot;-&quot;??\ _€_-;_-@_-"/>
    <numFmt numFmtId="164" formatCode="0.000"/>
    <numFmt numFmtId="165" formatCode="0.0000"/>
    <numFmt numFmtId="166" formatCode="#,##0.00\ [$€];[Red]\-#,##0.00\ [$€]"/>
    <numFmt numFmtId="167" formatCode="_-* #,##0.00\ _D_M_-;\-* #,##0.00\ _D_M_-;_-* &quot;-&quot;??\ _D_M_-;_-@_-"/>
    <numFmt numFmtId="168" formatCode="0.00000"/>
    <numFmt numFmtId="169" formatCode="_-* #,##0.00\ [$€-407]_-;\-* #,##0.00\ [$€-407]_-;_-* &quot;-&quot;??\ [$€-407]_-;_-@_-"/>
    <numFmt numFmtId="170" formatCode="0.0"/>
    <numFmt numFmtId="171" formatCode="0.000%"/>
    <numFmt numFmtId="172" formatCode="0.000000000000"/>
    <numFmt numFmtId="173" formatCode="0.000000"/>
    <numFmt numFmtId="174" formatCode="#,##0.0"/>
    <numFmt numFmtId="175" formatCode="#,##0.0000000000000000"/>
    <numFmt numFmtId="176" formatCode="0.0%"/>
    <numFmt numFmtId="177" formatCode="0.0000%"/>
    <numFmt numFmtId="178" formatCode="0.000000%"/>
    <numFmt numFmtId="179" formatCode="#,##0.00\ &quot;€&quot;"/>
    <numFmt numFmtId="180" formatCode="0.00000%"/>
    <numFmt numFmtId="181" formatCode="0.00000000"/>
    <numFmt numFmtId="182" formatCode="#,##0.00_ ;\-#,##0.00\ "/>
    <numFmt numFmtId="183" formatCode="0.0000000"/>
    <numFmt numFmtId="184" formatCode="_-* #,##0.00\ &quot;DM&quot;_-;\-* #,##0.00\ &quot;DM&quot;_-;_-* &quot;-&quot;??\ &quot;DM&quot;_-;_-@_-"/>
    <numFmt numFmtId="185" formatCode="_-* #,##0.0\ _D_M_-;\-* #,##0.0\ _D_M_-;_-* &quot;-&quot;??\ _D_M_-;_-@_-"/>
    <numFmt numFmtId="186" formatCode="#\ ???/???"/>
    <numFmt numFmtId="187" formatCode="0.000000000"/>
    <numFmt numFmtId="188" formatCode="0.0000000000"/>
    <numFmt numFmtId="189" formatCode="#,##0.000"/>
    <numFmt numFmtId="190" formatCode="0.0000000000000000"/>
    <numFmt numFmtId="191" formatCode="0.00000000000000"/>
    <numFmt numFmtId="192" formatCode="#,##0.00\ &quot;DM&quot;;\-#,##0.00\ &quot;DM&quot;"/>
    <numFmt numFmtId="193" formatCode="mmmm\ yy"/>
    <numFmt numFmtId="194" formatCode="#,##0.00\ &quot;DM&quot;;[Red]\-#,##0.00\ &quot;DM&quot;"/>
    <numFmt numFmtId="195" formatCode="#,##0_ ;\-#,##0\ "/>
    <numFmt numFmtId="196" formatCode="#,##0.000_ ;\-#,##0.000\ "/>
    <numFmt numFmtId="197" formatCode="#,##0.0000_ ;\-#,##0.0000\ "/>
    <numFmt numFmtId="198" formatCode="0.00\ &quot;mm&quot;"/>
    <numFmt numFmtId="199" formatCode="0.00\ &quot;cm&quot;"/>
    <numFmt numFmtId="200" formatCode="0.00\ &quot;m&quot;"/>
  </numFmts>
  <fonts count="9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MS Sans Serif"/>
      <family val="2"/>
    </font>
    <font>
      <sz val="10"/>
      <color theme="10"/>
      <name val="Arial"/>
      <family val="2"/>
    </font>
    <font>
      <sz val="10"/>
      <color rgb="FF000000"/>
      <name val="Arial"/>
      <family val="2"/>
    </font>
    <font>
      <sz val="10"/>
      <name val="Arial"/>
      <family val="2"/>
    </font>
    <font>
      <sz val="11"/>
      <color rgb="FFFF0000"/>
      <name val="Calibri"/>
      <family val="2"/>
      <scheme val="minor"/>
    </font>
    <font>
      <b/>
      <sz val="11"/>
      <color theme="1"/>
      <name val="Calibri"/>
      <family val="2"/>
      <scheme val="minor"/>
    </font>
    <font>
      <sz val="10"/>
      <color theme="3" tint="0.39997558519241921"/>
      <name val="Arial"/>
      <family val="2"/>
    </font>
    <font>
      <sz val="10"/>
      <color theme="9" tint="-0.249977111117893"/>
      <name val="Arial"/>
      <family val="2"/>
    </font>
    <font>
      <sz val="10"/>
      <color rgb="FF00B050"/>
      <name val="Arial"/>
      <family val="2"/>
    </font>
    <font>
      <sz val="10"/>
      <color rgb="FFFF0000"/>
      <name val="Arial"/>
      <family val="2"/>
    </font>
    <font>
      <vertAlign val="superscript"/>
      <sz val="10"/>
      <name val="Arial"/>
      <family val="2"/>
    </font>
    <font>
      <sz val="10"/>
      <color indexed="43"/>
      <name val="Arial"/>
      <family val="2"/>
    </font>
    <font>
      <b/>
      <sz val="16"/>
      <name val="Arial"/>
      <family val="2"/>
    </font>
    <font>
      <sz val="16"/>
      <name val="Arial"/>
      <family val="2"/>
    </font>
    <font>
      <sz val="10"/>
      <name val="Tahoma"/>
      <family val="2"/>
    </font>
    <font>
      <sz val="11"/>
      <color theme="3" tint="0.39997558519241921"/>
      <name val="Calibri"/>
      <family val="2"/>
      <scheme val="minor"/>
    </font>
    <font>
      <b/>
      <sz val="10"/>
      <name val="Tahoma"/>
      <family val="2"/>
    </font>
    <font>
      <b/>
      <sz val="14"/>
      <color indexed="10"/>
      <name val="Arial"/>
      <family val="2"/>
    </font>
    <font>
      <b/>
      <sz val="12"/>
      <color indexed="10"/>
      <name val="Arial"/>
      <family val="2"/>
    </font>
    <font>
      <sz val="10"/>
      <color indexed="10"/>
      <name val="Arial"/>
      <family val="2"/>
    </font>
    <font>
      <b/>
      <sz val="12"/>
      <name val="Arial"/>
      <family val="2"/>
    </font>
    <font>
      <sz val="8"/>
      <name val="Arial"/>
      <family val="2"/>
    </font>
    <font>
      <sz val="8"/>
      <color indexed="10"/>
      <name val="Arial"/>
      <family val="2"/>
    </font>
    <font>
      <sz val="9"/>
      <name val="Arial"/>
      <family val="2"/>
    </font>
    <font>
      <sz val="12"/>
      <name val="Arial"/>
      <family val="2"/>
    </font>
    <font>
      <u/>
      <sz val="10"/>
      <name val="Arial"/>
      <family val="2"/>
    </font>
    <font>
      <b/>
      <sz val="11"/>
      <color rgb="FF222222"/>
      <name val="Arial"/>
      <family val="2"/>
    </font>
    <font>
      <b/>
      <sz val="14"/>
      <name val="Arial"/>
      <family val="2"/>
    </font>
    <font>
      <sz val="14"/>
      <name val="Arial"/>
      <family val="2"/>
    </font>
    <font>
      <b/>
      <u/>
      <sz val="10"/>
      <name val="Arial"/>
      <family val="2"/>
    </font>
    <font>
      <b/>
      <sz val="10"/>
      <color indexed="21"/>
      <name val="Arial"/>
      <family val="2"/>
    </font>
    <font>
      <b/>
      <sz val="10"/>
      <color indexed="53"/>
      <name val="Arial"/>
      <family val="2"/>
    </font>
    <font>
      <sz val="10"/>
      <color indexed="53"/>
      <name val="Arial"/>
      <family val="2"/>
    </font>
    <font>
      <sz val="10"/>
      <color indexed="21"/>
      <name val="Arial"/>
      <family val="2"/>
    </font>
    <font>
      <sz val="10"/>
      <color theme="6" tint="-0.249977111117893"/>
      <name val="Arial"/>
      <family val="2"/>
    </font>
    <font>
      <sz val="10"/>
      <color theme="4" tint="-0.249977111117893"/>
      <name val="Arial"/>
      <family val="2"/>
    </font>
    <font>
      <sz val="10"/>
      <color theme="1"/>
      <name val="Calibri"/>
      <family val="2"/>
      <scheme val="minor"/>
    </font>
    <font>
      <b/>
      <sz val="10"/>
      <color theme="1"/>
      <name val="Calibri"/>
      <family val="2"/>
      <scheme val="minor"/>
    </font>
    <font>
      <sz val="14"/>
      <name val="AvantGarde Bk BT"/>
      <family val="2"/>
    </font>
    <font>
      <sz val="10"/>
      <color indexed="12"/>
      <name val="Arial"/>
      <family val="2"/>
    </font>
    <font>
      <sz val="10"/>
      <name val="MS Sans"/>
    </font>
    <font>
      <vertAlign val="superscript"/>
      <sz val="14"/>
      <name val="Arial"/>
      <family val="2"/>
    </font>
    <font>
      <b/>
      <sz val="11"/>
      <name val="Arial"/>
      <family val="2"/>
    </font>
    <font>
      <b/>
      <sz val="10"/>
      <color indexed="23"/>
      <name val="Arial"/>
      <family val="2"/>
    </font>
    <font>
      <sz val="10"/>
      <color indexed="23"/>
      <name val="Arial"/>
      <family val="2"/>
    </font>
    <font>
      <b/>
      <sz val="10"/>
      <name val="MS Sans"/>
    </font>
    <font>
      <b/>
      <i/>
      <sz val="10"/>
      <name val="Arial"/>
      <family val="2"/>
    </font>
    <font>
      <b/>
      <sz val="10"/>
      <color indexed="10"/>
      <name val="Arial"/>
      <family val="2"/>
    </font>
    <font>
      <b/>
      <vertAlign val="subscript"/>
      <sz val="10"/>
      <name val="Arial"/>
      <family val="2"/>
    </font>
    <font>
      <u/>
      <sz val="10"/>
      <color indexed="12"/>
      <name val="Arial"/>
      <family val="2"/>
    </font>
    <font>
      <b/>
      <sz val="9"/>
      <name val="Arial"/>
      <family val="2"/>
    </font>
    <font>
      <sz val="10"/>
      <name val="Calibri"/>
      <family val="2"/>
    </font>
    <font>
      <sz val="9"/>
      <name val="Calibri"/>
      <family val="2"/>
    </font>
    <font>
      <sz val="10"/>
      <name val="Arial"/>
      <family val="2"/>
    </font>
    <font>
      <sz val="10"/>
      <color theme="8" tint="-0.249977111117893"/>
      <name val="Arial"/>
      <family val="2"/>
    </font>
    <font>
      <b/>
      <sz val="10"/>
      <name val="Calibri"/>
      <family val="2"/>
    </font>
    <font>
      <sz val="11"/>
      <name val="Calibri"/>
      <family val="2"/>
    </font>
    <font>
      <sz val="10"/>
      <color indexed="57"/>
      <name val="Arial"/>
      <family val="2"/>
    </font>
    <font>
      <sz val="11"/>
      <name val="Arial"/>
      <family val="2"/>
    </font>
    <font>
      <b/>
      <sz val="13.5"/>
      <name val="Arial"/>
      <family val="2"/>
    </font>
    <font>
      <sz val="10"/>
      <color indexed="48"/>
      <name val="Arial"/>
      <family val="2"/>
    </font>
    <font>
      <sz val="10"/>
      <color indexed="52"/>
      <name val="Arial"/>
      <family val="2"/>
    </font>
    <font>
      <i/>
      <sz val="10"/>
      <name val="Arial"/>
      <family val="2"/>
    </font>
    <font>
      <b/>
      <sz val="12"/>
      <color indexed="57"/>
      <name val="Arial"/>
      <family val="2"/>
    </font>
    <font>
      <b/>
      <vertAlign val="superscript"/>
      <sz val="12"/>
      <name val="Arial"/>
      <family val="2"/>
    </font>
    <font>
      <b/>
      <sz val="12"/>
      <color indexed="12"/>
      <name val="Arial"/>
      <family val="2"/>
    </font>
    <font>
      <b/>
      <sz val="12"/>
      <color indexed="17"/>
      <name val="Arial"/>
      <family val="2"/>
    </font>
    <font>
      <sz val="10"/>
      <color indexed="8"/>
      <name val="Arial"/>
      <family val="2"/>
    </font>
    <font>
      <sz val="10"/>
      <color indexed="17"/>
      <name val="Arial"/>
      <family val="2"/>
    </font>
    <font>
      <b/>
      <sz val="12"/>
      <color rgb="FFFF0000"/>
      <name val="Arial"/>
      <family val="2"/>
    </font>
    <font>
      <b/>
      <sz val="10"/>
      <color rgb="FFFF0000"/>
      <name val="Arial"/>
      <family val="2"/>
    </font>
    <font>
      <sz val="8.5"/>
      <name val="MS Sans Serif"/>
      <family val="2"/>
    </font>
    <font>
      <b/>
      <sz val="10"/>
      <name val="MS Sans Serif"/>
      <family val="2"/>
    </font>
    <font>
      <sz val="10"/>
      <color indexed="48"/>
      <name val="MS Sans Serif"/>
      <family val="2"/>
    </font>
    <font>
      <sz val="11"/>
      <color rgb="FF000000"/>
      <name val="Calibri"/>
      <family val="2"/>
    </font>
    <font>
      <sz val="12"/>
      <name val="MS Sans Serif"/>
      <family val="2"/>
    </font>
    <font>
      <sz val="12"/>
      <color rgb="FF000000"/>
      <name val="Arial"/>
      <family val="2"/>
    </font>
    <font>
      <b/>
      <sz val="12"/>
      <name val="MS Sans Serif"/>
      <family val="2"/>
    </font>
    <font>
      <sz val="11"/>
      <name val="Calibri"/>
      <family val="2"/>
      <scheme val="minor"/>
    </font>
    <font>
      <vertAlign val="subscript"/>
      <sz val="10"/>
      <name val="Arial"/>
      <family val="2"/>
    </font>
    <font>
      <b/>
      <sz val="14"/>
      <color rgb="FF000000"/>
      <name val="Arial"/>
      <family val="2"/>
    </font>
    <font>
      <u/>
      <sz val="11"/>
      <color indexed="12"/>
      <name val="Arial"/>
      <family val="2"/>
    </font>
    <font>
      <sz val="10.5"/>
      <color rgb="FF000000"/>
      <name val="Calibri"/>
      <family val="2"/>
    </font>
    <font>
      <sz val="10"/>
      <color theme="1"/>
      <name val="Arial"/>
      <family val="2"/>
    </font>
    <font>
      <b/>
      <sz val="9"/>
      <color indexed="81"/>
      <name val="Tahoma"/>
      <family val="2"/>
    </font>
    <font>
      <b/>
      <sz val="10"/>
      <color theme="5" tint="-0.249977111117893"/>
      <name val="Arial"/>
      <family val="2"/>
    </font>
    <font>
      <sz val="10"/>
      <color theme="5" tint="-0.249977111117893"/>
      <name val="Arial"/>
      <family val="2"/>
    </font>
    <font>
      <sz val="10"/>
      <color rgb="FF00B0F0"/>
      <name val="Arial"/>
      <family val="2"/>
    </font>
    <font>
      <sz val="10"/>
      <color theme="0" tint="-0.249977111117893"/>
      <name val="Arial"/>
      <family val="2"/>
    </font>
    <font>
      <b/>
      <sz val="11"/>
      <color rgb="FFFF0000"/>
      <name val="Calibri"/>
      <family val="2"/>
      <scheme val="minor"/>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bgColor rgb="FFFFFFFF"/>
      </patternFill>
    </fill>
    <fill>
      <patternFill patternType="solid">
        <fgColor indexed="4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45"/>
        <bgColor indexed="64"/>
      </patternFill>
    </fill>
    <fill>
      <patternFill patternType="solid">
        <fgColor theme="6" tint="0.79998168889431442"/>
        <bgColor indexed="64"/>
      </patternFill>
    </fill>
    <fill>
      <patternFill patternType="solid">
        <fgColor indexed="42"/>
        <bgColor indexed="64"/>
      </patternFill>
    </fill>
    <fill>
      <patternFill patternType="solid">
        <fgColor indexed="31"/>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indexed="44"/>
        <bgColor indexed="64"/>
      </patternFill>
    </fill>
    <fill>
      <patternFill patternType="solid">
        <fgColor rgb="FFFFFFCC"/>
        <bgColor indexed="64"/>
      </patternFill>
    </fill>
    <fill>
      <patternFill patternType="solid">
        <fgColor indexed="46"/>
        <bgColor indexed="64"/>
      </patternFill>
    </fill>
    <fill>
      <patternFill patternType="solid">
        <fgColor indexed="47"/>
        <bgColor indexed="64"/>
      </patternFill>
    </fill>
    <fill>
      <patternFill patternType="solid">
        <fgColor indexed="9"/>
      </patternFill>
    </fill>
    <fill>
      <patternFill patternType="solid">
        <fgColor theme="8" tint="-0.249977111117893"/>
        <bgColor indexed="64"/>
      </patternFill>
    </fill>
    <fill>
      <patternFill patternType="solid">
        <fgColor rgb="FFFFFF99"/>
        <bgColor indexed="64"/>
      </patternFill>
    </fill>
    <fill>
      <patternFill patternType="solid">
        <fgColor indexed="8"/>
        <bgColor indexed="64"/>
      </patternFill>
    </fill>
    <fill>
      <patternFill patternType="solid">
        <fgColor rgb="FFA3BCDC"/>
        <bgColor indexed="64"/>
      </patternFill>
    </fill>
    <fill>
      <patternFill patternType="solid">
        <fgColor rgb="FFFFFFFF"/>
        <bgColor indexed="64"/>
      </patternFill>
    </fill>
    <fill>
      <patternFill patternType="solid">
        <fgColor theme="0" tint="-4.9989318521683403E-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34"/>
      </left>
      <right style="medium">
        <color indexed="34"/>
      </right>
      <top style="medium">
        <color indexed="34"/>
      </top>
      <bottom style="medium">
        <color indexed="34"/>
      </bottom>
      <diagonal/>
    </border>
    <border>
      <left style="thick">
        <color indexed="39"/>
      </left>
      <right style="thick">
        <color indexed="39"/>
      </right>
      <top style="thick">
        <color indexed="39"/>
      </top>
      <bottom style="thick">
        <color indexed="39"/>
      </bottom>
      <diagonal/>
    </border>
    <border>
      <left style="thick">
        <color indexed="11"/>
      </left>
      <right style="thick">
        <color indexed="11"/>
      </right>
      <top style="thick">
        <color indexed="11"/>
      </top>
      <bottom style="thick">
        <color indexed="1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6">
    <xf numFmtId="0" fontId="0" fillId="0" borderId="0"/>
    <xf numFmtId="9" fontId="5" fillId="0" borderId="0" applyFont="0" applyFill="0" applyBorder="0" applyAlignment="0" applyProtection="0"/>
    <xf numFmtId="43" fontId="5" fillId="0" borderId="0" applyFont="0" applyFill="0" applyBorder="0" applyAlignment="0" applyProtection="0"/>
    <xf numFmtId="166" fontId="7" fillId="0" borderId="0" applyFont="0" applyFill="0" applyBorder="0" applyAlignment="0" applyProtection="0"/>
    <xf numFmtId="0" fontId="8" fillId="0" borderId="0" applyNumberForma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9" fillId="0" borderId="0"/>
    <xf numFmtId="0" fontId="10" fillId="0" borderId="0"/>
    <xf numFmtId="167" fontId="10"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184" fontId="5" fillId="0" borderId="0" applyFont="0" applyFill="0" applyBorder="0" applyAlignment="0" applyProtection="0"/>
    <xf numFmtId="0" fontId="47" fillId="0" borderId="0"/>
    <xf numFmtId="0" fontId="47" fillId="0" borderId="0"/>
    <xf numFmtId="0" fontId="47" fillId="0" borderId="0"/>
    <xf numFmtId="0" fontId="56" fillId="0" borderId="0" applyNumberFormat="0" applyFill="0" applyBorder="0" applyAlignment="0" applyProtection="0">
      <alignment vertical="top"/>
      <protection locked="0"/>
    </xf>
    <xf numFmtId="0" fontId="60" fillId="0" borderId="0"/>
    <xf numFmtId="0" fontId="7" fillId="0" borderId="0"/>
    <xf numFmtId="0" fontId="2" fillId="0" borderId="0"/>
    <xf numFmtId="9" fontId="60" fillId="0" borderId="0" applyFont="0" applyFill="0" applyBorder="0" applyAlignment="0" applyProtection="0"/>
  </cellStyleXfs>
  <cellXfs count="1687">
    <xf numFmtId="0" fontId="0" fillId="0" borderId="0" xfId="0"/>
    <xf numFmtId="0" fontId="0" fillId="2" borderId="0" xfId="0" applyFill="1"/>
    <xf numFmtId="0" fontId="6" fillId="2" borderId="0" xfId="0" applyFont="1" applyFill="1"/>
    <xf numFmtId="0" fontId="5" fillId="2"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5" fillId="2" borderId="0" xfId="0" applyFont="1" applyFill="1" applyAlignment="1">
      <alignment horizontal="center"/>
    </xf>
    <xf numFmtId="0" fontId="0" fillId="3" borderId="12" xfId="0" applyFill="1" applyBorder="1"/>
    <xf numFmtId="0" fontId="0" fillId="4" borderId="12" xfId="0" applyFill="1" applyBorder="1"/>
    <xf numFmtId="0" fontId="0" fillId="3" borderId="13" xfId="0" applyFill="1" applyBorder="1"/>
    <xf numFmtId="0" fontId="0" fillId="4" borderId="13" xfId="0" applyFill="1" applyBorder="1" applyAlignment="1">
      <alignment horizontal="center"/>
    </xf>
    <xf numFmtId="0" fontId="0" fillId="4" borderId="13" xfId="0" applyFill="1" applyBorder="1"/>
    <xf numFmtId="0" fontId="0" fillId="3" borderId="14" xfId="0" applyFill="1" applyBorder="1"/>
    <xf numFmtId="0" fontId="0" fillId="4" borderId="14" xfId="0" applyFill="1" applyBorder="1"/>
    <xf numFmtId="0" fontId="0" fillId="3" borderId="0" xfId="0" applyFill="1"/>
    <xf numFmtId="0" fontId="0" fillId="3" borderId="13" xfId="0" applyFill="1" applyBorder="1" applyAlignment="1">
      <alignment horizontal="center"/>
    </xf>
    <xf numFmtId="0" fontId="0" fillId="2" borderId="0" xfId="0" applyFill="1" applyAlignment="1">
      <alignment horizontal="center"/>
    </xf>
    <xf numFmtId="0" fontId="5" fillId="3" borderId="0" xfId="0" applyFont="1" applyFill="1"/>
    <xf numFmtId="0" fontId="5" fillId="3" borderId="0" xfId="0" applyFont="1" applyFill="1" applyAlignment="1">
      <alignment horizontal="center"/>
    </xf>
    <xf numFmtId="0" fontId="5" fillId="3" borderId="0" xfId="0" applyFont="1" applyFill="1" applyAlignment="1">
      <alignment horizontal="right"/>
    </xf>
    <xf numFmtId="164" fontId="0" fillId="4" borderId="15" xfId="0" applyNumberFormat="1" applyFill="1" applyBorder="1"/>
    <xf numFmtId="0" fontId="5" fillId="0" borderId="0" xfId="0" applyFont="1" applyFill="1"/>
    <xf numFmtId="0" fontId="0" fillId="0" borderId="0" xfId="0" applyFill="1"/>
    <xf numFmtId="1" fontId="0" fillId="4" borderId="15" xfId="0" applyNumberFormat="1" applyFill="1" applyBorder="1"/>
    <xf numFmtId="9" fontId="0" fillId="4" borderId="15" xfId="0" applyNumberFormat="1" applyFill="1" applyBorder="1"/>
    <xf numFmtId="9" fontId="0" fillId="0" borderId="0" xfId="0" applyNumberFormat="1" applyFill="1" applyBorder="1"/>
    <xf numFmtId="0" fontId="0" fillId="0" borderId="15" xfId="0" applyFill="1" applyBorder="1"/>
    <xf numFmtId="0" fontId="0" fillId="3" borderId="0" xfId="0" applyFill="1" applyAlignment="1">
      <alignment horizontal="right"/>
    </xf>
    <xf numFmtId="0" fontId="0" fillId="0" borderId="0" xfId="0" applyBorder="1"/>
    <xf numFmtId="165" fontId="0" fillId="0" borderId="15" xfId="0" applyNumberFormat="1" applyBorder="1"/>
    <xf numFmtId="0" fontId="0" fillId="0" borderId="15" xfId="0" applyBorder="1"/>
    <xf numFmtId="164" fontId="0" fillId="0" borderId="15" xfId="0" applyNumberFormat="1" applyBorder="1"/>
    <xf numFmtId="0" fontId="5" fillId="0" borderId="0" xfId="0" applyFont="1" applyFill="1" applyAlignment="1">
      <alignment horizontal="center"/>
    </xf>
    <xf numFmtId="10" fontId="0" fillId="0" borderId="0" xfId="1" applyNumberFormat="1" applyFont="1" applyFill="1" applyAlignment="1">
      <alignment horizontal="center"/>
    </xf>
    <xf numFmtId="10" fontId="0" fillId="0" borderId="15" xfId="1" applyNumberFormat="1" applyFont="1" applyBorder="1"/>
    <xf numFmtId="0" fontId="0" fillId="5" borderId="0" xfId="17" applyFont="1" applyFill="1" applyBorder="1"/>
    <xf numFmtId="0" fontId="10" fillId="5" borderId="0" xfId="17" applyFont="1" applyFill="1" applyBorder="1"/>
    <xf numFmtId="0" fontId="10" fillId="2" borderId="0" xfId="18" applyFill="1"/>
    <xf numFmtId="0" fontId="10" fillId="3" borderId="0" xfId="18" applyFill="1" applyAlignment="1">
      <alignment horizontal="right"/>
    </xf>
    <xf numFmtId="0" fontId="10" fillId="6" borderId="0" xfId="18" applyFill="1" applyAlignment="1">
      <alignment horizontal="center"/>
    </xf>
    <xf numFmtId="0" fontId="10" fillId="3" borderId="0" xfId="18" applyFill="1" applyAlignment="1">
      <alignment horizontal="center"/>
    </xf>
    <xf numFmtId="0" fontId="10" fillId="3" borderId="0" xfId="18" applyFill="1"/>
    <xf numFmtId="0" fontId="10" fillId="0" borderId="0" xfId="18" applyAlignment="1">
      <alignment horizontal="center"/>
    </xf>
    <xf numFmtId="0" fontId="10" fillId="4" borderId="0" xfId="18" applyFill="1" applyAlignment="1">
      <alignment horizontal="center"/>
    </xf>
    <xf numFmtId="0" fontId="10" fillId="7" borderId="0" xfId="18" applyFill="1" applyAlignment="1">
      <alignment horizontal="center"/>
    </xf>
    <xf numFmtId="0" fontId="10" fillId="7" borderId="0" xfId="18" applyFill="1" applyAlignment="1">
      <alignment horizontal="left"/>
    </xf>
    <xf numFmtId="0" fontId="0" fillId="0" borderId="0" xfId="0" applyAlignment="1">
      <alignment horizontal="right"/>
    </xf>
    <xf numFmtId="2" fontId="0" fillId="0" borderId="0" xfId="0" applyNumberFormat="1"/>
    <xf numFmtId="164" fontId="0" fillId="0" borderId="0" xfId="0" applyNumberFormat="1"/>
    <xf numFmtId="165" fontId="0" fillId="0" borderId="0" xfId="0" applyNumberFormat="1"/>
    <xf numFmtId="0" fontId="0" fillId="0" borderId="0" xfId="0" applyFill="1" applyAlignment="1">
      <alignment horizontal="right"/>
    </xf>
    <xf numFmtId="168" fontId="0" fillId="3" borderId="0" xfId="0" applyNumberFormat="1" applyFill="1"/>
    <xf numFmtId="0" fontId="0" fillId="3" borderId="0" xfId="0" applyFill="1" applyAlignment="1">
      <alignment horizontal="left"/>
    </xf>
    <xf numFmtId="0" fontId="13" fillId="3" borderId="0" xfId="0" applyFont="1" applyFill="1" applyAlignment="1">
      <alignment horizontal="left"/>
    </xf>
    <xf numFmtId="0" fontId="14" fillId="3" borderId="0" xfId="0" applyFont="1" applyFill="1" applyAlignment="1">
      <alignment horizontal="left"/>
    </xf>
    <xf numFmtId="0" fontId="6" fillId="3" borderId="0" xfId="0" applyFont="1" applyFill="1"/>
    <xf numFmtId="2" fontId="5" fillId="2" borderId="0" xfId="9" applyNumberFormat="1" applyFont="1" applyFill="1" applyBorder="1" applyAlignment="1" applyProtection="1">
      <alignment horizontal="left"/>
    </xf>
    <xf numFmtId="2" fontId="5" fillId="2" borderId="0" xfId="9" applyNumberFormat="1" applyFill="1" applyProtection="1"/>
    <xf numFmtId="2" fontId="5" fillId="2" borderId="0" xfId="9" applyNumberFormat="1" applyFont="1" applyFill="1" applyProtection="1"/>
    <xf numFmtId="2" fontId="5" fillId="8" borderId="0" xfId="9" applyNumberFormat="1" applyFill="1" applyAlignment="1" applyProtection="1">
      <alignment horizontal="center"/>
      <protection locked="0"/>
    </xf>
    <xf numFmtId="2" fontId="5" fillId="2" borderId="0" xfId="9" applyNumberFormat="1" applyFill="1" applyAlignment="1" applyProtection="1">
      <alignment horizontal="center"/>
    </xf>
    <xf numFmtId="2" fontId="5" fillId="8" borderId="15" xfId="9" applyNumberFormat="1" applyFill="1" applyBorder="1" applyAlignment="1" applyProtection="1">
      <alignment horizontal="center"/>
      <protection locked="0"/>
    </xf>
    <xf numFmtId="2" fontId="5" fillId="2" borderId="15" xfId="9" applyNumberFormat="1" applyFill="1" applyBorder="1" applyAlignment="1" applyProtection="1">
      <alignment horizontal="center"/>
    </xf>
    <xf numFmtId="0" fontId="3" fillId="0" borderId="0" xfId="20"/>
    <xf numFmtId="0" fontId="18" fillId="6" borderId="0" xfId="0" applyFont="1" applyFill="1" applyAlignment="1">
      <alignment horizontal="center"/>
    </xf>
    <xf numFmtId="0" fontId="0" fillId="6" borderId="15" xfId="0" applyFill="1" applyBorder="1" applyAlignment="1">
      <alignment horizontal="center"/>
    </xf>
    <xf numFmtId="0" fontId="6" fillId="2" borderId="0" xfId="0" applyFont="1" applyFill="1" applyBorder="1" applyAlignment="1">
      <alignment horizontal="center"/>
    </xf>
    <xf numFmtId="170" fontId="0" fillId="2" borderId="0" xfId="0" applyNumberFormat="1" applyFill="1" applyAlignment="1">
      <alignment horizontal="center"/>
    </xf>
    <xf numFmtId="0" fontId="19" fillId="2" borderId="0" xfId="0" applyFont="1" applyFill="1" applyBorder="1"/>
    <xf numFmtId="0" fontId="20" fillId="2" borderId="0" xfId="0" applyFont="1" applyFill="1" applyBorder="1"/>
    <xf numFmtId="0" fontId="3" fillId="3" borderId="0" xfId="22" applyFill="1"/>
    <xf numFmtId="0" fontId="3" fillId="3" borderId="0" xfId="22" applyFill="1" applyAlignment="1">
      <alignment horizontal="center"/>
    </xf>
    <xf numFmtId="0" fontId="21" fillId="3" borderId="0" xfId="22" applyFont="1" applyFill="1"/>
    <xf numFmtId="0" fontId="21" fillId="3" borderId="0" xfId="22" applyFont="1" applyFill="1" applyAlignment="1">
      <alignment horizontal="left" indent="5"/>
    </xf>
    <xf numFmtId="0" fontId="3" fillId="10" borderId="0" xfId="22" applyFill="1"/>
    <xf numFmtId="0" fontId="3" fillId="0" borderId="0" xfId="22"/>
    <xf numFmtId="0" fontId="3" fillId="4" borderId="15" xfId="22" applyFill="1" applyBorder="1"/>
    <xf numFmtId="0" fontId="3" fillId="0" borderId="0" xfId="22" applyAlignment="1">
      <alignment horizontal="center"/>
    </xf>
    <xf numFmtId="164" fontId="3" fillId="0" borderId="0" xfId="22" applyNumberFormat="1"/>
    <xf numFmtId="2" fontId="3" fillId="0" borderId="0" xfId="22" applyNumberFormat="1"/>
    <xf numFmtId="0" fontId="21" fillId="2" borderId="0" xfId="10" applyFont="1" applyFill="1"/>
    <xf numFmtId="0" fontId="3" fillId="0" borderId="0" xfId="22" applyAlignment="1">
      <alignment horizontal="right"/>
    </xf>
    <xf numFmtId="0" fontId="3" fillId="0" borderId="0" xfId="22" applyAlignment="1">
      <alignment horizontal="left"/>
    </xf>
    <xf numFmtId="0" fontId="12" fillId="0" borderId="0" xfId="22" applyFont="1" applyAlignment="1">
      <alignment horizontal="center"/>
    </xf>
    <xf numFmtId="0" fontId="12" fillId="0" borderId="0" xfId="22" applyFont="1"/>
    <xf numFmtId="2" fontId="22" fillId="0" borderId="0" xfId="22" applyNumberFormat="1" applyFont="1" applyAlignment="1">
      <alignment horizontal="center"/>
    </xf>
    <xf numFmtId="2" fontId="3" fillId="0" borderId="0" xfId="22" applyNumberFormat="1" applyAlignment="1">
      <alignment horizontal="center"/>
    </xf>
    <xf numFmtId="2" fontId="11" fillId="0" borderId="0" xfId="22" applyNumberFormat="1" applyFont="1" applyAlignment="1">
      <alignment horizontal="center"/>
    </xf>
    <xf numFmtId="0" fontId="12" fillId="0" borderId="0" xfId="22" applyFont="1" applyAlignment="1">
      <alignment horizontal="left"/>
    </xf>
    <xf numFmtId="0" fontId="3" fillId="0" borderId="16" xfId="22" applyBorder="1"/>
    <xf numFmtId="0" fontId="3" fillId="0" borderId="17" xfId="22" applyBorder="1"/>
    <xf numFmtId="0" fontId="3" fillId="0" borderId="18" xfId="22" applyBorder="1"/>
    <xf numFmtId="0" fontId="3" fillId="0" borderId="19" xfId="22" applyBorder="1" applyAlignment="1">
      <alignment horizontal="right"/>
    </xf>
    <xf numFmtId="0" fontId="3" fillId="0" borderId="0" xfId="22" applyBorder="1"/>
    <xf numFmtId="0" fontId="3" fillId="0" borderId="20" xfId="22" applyBorder="1"/>
    <xf numFmtId="0" fontId="3" fillId="8" borderId="0" xfId="22" applyFill="1" applyBorder="1" applyAlignment="1">
      <alignment horizontal="center"/>
    </xf>
    <xf numFmtId="168" fontId="3" fillId="8" borderId="0" xfId="22" applyNumberFormat="1" applyFill="1" applyBorder="1" applyAlignment="1">
      <alignment horizontal="center"/>
    </xf>
    <xf numFmtId="0" fontId="3" fillId="0" borderId="0" xfId="22" applyBorder="1" applyAlignment="1">
      <alignment horizontal="center"/>
    </xf>
    <xf numFmtId="2" fontId="3" fillId="0" borderId="0" xfId="22" applyNumberFormat="1" applyBorder="1" applyAlignment="1">
      <alignment horizontal="center"/>
    </xf>
    <xf numFmtId="0" fontId="3" fillId="0" borderId="19" xfId="22" applyBorder="1"/>
    <xf numFmtId="0" fontId="3" fillId="0" borderId="21" xfId="22" applyBorder="1"/>
    <xf numFmtId="0" fontId="3" fillId="0" borderId="22" xfId="22" applyBorder="1"/>
    <xf numFmtId="0" fontId="3" fillId="0" borderId="23" xfId="22" applyBorder="1"/>
    <xf numFmtId="0" fontId="3" fillId="8" borderId="0" xfId="22" applyFill="1"/>
    <xf numFmtId="0" fontId="3" fillId="0" borderId="0" xfId="22" applyFill="1"/>
    <xf numFmtId="10" fontId="0" fillId="0" borderId="0" xfId="23" applyNumberFormat="1" applyFont="1"/>
    <xf numFmtId="0" fontId="23" fillId="2" borderId="0" xfId="10" applyFont="1" applyFill="1"/>
    <xf numFmtId="0" fontId="0" fillId="8" borderId="0" xfId="0" applyFill="1"/>
    <xf numFmtId="170" fontId="0" fillId="0" borderId="0" xfId="0" applyNumberFormat="1"/>
    <xf numFmtId="171" fontId="0" fillId="0" borderId="0" xfId="1" applyNumberFormat="1" applyFont="1"/>
    <xf numFmtId="0" fontId="21" fillId="2" borderId="0" xfId="9" applyFont="1" applyFill="1"/>
    <xf numFmtId="0" fontId="21" fillId="0" borderId="0" xfId="9" applyFont="1"/>
    <xf numFmtId="0" fontId="5" fillId="2" borderId="0" xfId="9" applyFont="1" applyFill="1"/>
    <xf numFmtId="0" fontId="5" fillId="2" borderId="0" xfId="9" applyFont="1" applyFill="1" applyAlignment="1">
      <alignment horizontal="right"/>
    </xf>
    <xf numFmtId="0" fontId="5" fillId="2" borderId="0" xfId="9" applyFill="1"/>
    <xf numFmtId="0" fontId="5" fillId="2" borderId="1" xfId="9" applyFill="1" applyBorder="1"/>
    <xf numFmtId="0" fontId="6" fillId="2" borderId="2" xfId="9" applyFont="1" applyFill="1" applyBorder="1"/>
    <xf numFmtId="0" fontId="5" fillId="2" borderId="2" xfId="9" applyFill="1" applyBorder="1"/>
    <xf numFmtId="0" fontId="5" fillId="2" borderId="3" xfId="9" applyFill="1" applyBorder="1"/>
    <xf numFmtId="0" fontId="6" fillId="2" borderId="0" xfId="9" applyFont="1" applyFill="1" applyBorder="1"/>
    <xf numFmtId="0" fontId="5" fillId="2" borderId="6" xfId="9" applyFont="1" applyFill="1" applyBorder="1" applyAlignment="1">
      <alignment horizontal="center"/>
    </xf>
    <xf numFmtId="0" fontId="5" fillId="2" borderId="7" xfId="9" applyFill="1" applyBorder="1" applyAlignment="1">
      <alignment horizontal="center"/>
    </xf>
    <xf numFmtId="0" fontId="5" fillId="2" borderId="7" xfId="9" applyFont="1" applyFill="1" applyBorder="1" applyAlignment="1">
      <alignment horizontal="center"/>
    </xf>
    <xf numFmtId="0" fontId="5" fillId="2" borderId="8" xfId="9" applyFill="1" applyBorder="1"/>
    <xf numFmtId="0" fontId="5" fillId="2" borderId="0" xfId="9" applyFill="1" applyAlignment="1">
      <alignment horizontal="right"/>
    </xf>
    <xf numFmtId="0" fontId="5" fillId="11" borderId="4" xfId="9" applyFill="1" applyBorder="1" applyAlignment="1">
      <alignment horizontal="center"/>
    </xf>
    <xf numFmtId="0" fontId="5" fillId="2" borderId="0" xfId="9" applyFill="1" applyBorder="1" applyAlignment="1">
      <alignment horizontal="center"/>
    </xf>
    <xf numFmtId="0" fontId="5" fillId="11" borderId="0" xfId="9" applyFill="1" applyBorder="1" applyAlignment="1">
      <alignment horizontal="center"/>
    </xf>
    <xf numFmtId="0" fontId="5" fillId="2" borderId="5" xfId="9" applyFill="1" applyBorder="1" applyAlignment="1">
      <alignment horizontal="center"/>
    </xf>
    <xf numFmtId="0" fontId="5" fillId="2" borderId="0" xfId="9" applyFill="1" applyAlignment="1">
      <alignment horizontal="center"/>
    </xf>
    <xf numFmtId="0" fontId="5" fillId="2" borderId="4" xfId="9" applyFill="1" applyBorder="1" applyAlignment="1">
      <alignment horizontal="center"/>
    </xf>
    <xf numFmtId="0" fontId="5" fillId="11" borderId="6" xfId="9" applyFill="1" applyBorder="1" applyAlignment="1">
      <alignment horizontal="center"/>
    </xf>
    <xf numFmtId="0" fontId="5" fillId="11" borderId="7" xfId="9" applyFill="1" applyBorder="1" applyAlignment="1">
      <alignment horizontal="center"/>
    </xf>
    <xf numFmtId="0" fontId="5" fillId="2" borderId="8" xfId="9" applyFill="1" applyBorder="1" applyAlignment="1">
      <alignment horizontal="center"/>
    </xf>
    <xf numFmtId="0" fontId="5" fillId="2" borderId="6" xfId="9" applyFill="1" applyBorder="1" applyAlignment="1">
      <alignment horizontal="center"/>
    </xf>
    <xf numFmtId="170" fontId="5" fillId="2" borderId="4" xfId="9" applyNumberFormat="1" applyFill="1" applyBorder="1" applyAlignment="1">
      <alignment horizontal="center"/>
    </xf>
    <xf numFmtId="170" fontId="5" fillId="2" borderId="0" xfId="9" applyNumberFormat="1" applyFill="1" applyBorder="1" applyAlignment="1">
      <alignment horizontal="center"/>
    </xf>
    <xf numFmtId="170" fontId="5" fillId="2" borderId="5" xfId="9" applyNumberFormat="1" applyFill="1" applyBorder="1" applyAlignment="1">
      <alignment horizontal="center"/>
    </xf>
    <xf numFmtId="170" fontId="5" fillId="2" borderId="0" xfId="9" applyNumberFormat="1" applyFill="1" applyAlignment="1">
      <alignment horizontal="center"/>
    </xf>
    <xf numFmtId="1" fontId="5" fillId="2" borderId="4" xfId="9" applyNumberFormat="1" applyFill="1" applyBorder="1" applyAlignment="1">
      <alignment horizontal="center"/>
    </xf>
    <xf numFmtId="1" fontId="5" fillId="2" borderId="0" xfId="9" applyNumberFormat="1" applyFill="1" applyBorder="1" applyAlignment="1">
      <alignment horizontal="center"/>
    </xf>
    <xf numFmtId="1" fontId="5" fillId="2" borderId="5" xfId="9" applyNumberFormat="1" applyFill="1" applyBorder="1" applyAlignment="1">
      <alignment horizontal="center"/>
    </xf>
    <xf numFmtId="1" fontId="5" fillId="2" borderId="0" xfId="9" applyNumberFormat="1" applyFill="1" applyAlignment="1">
      <alignment horizontal="center"/>
    </xf>
    <xf numFmtId="0" fontId="6" fillId="2" borderId="7" xfId="9" applyFont="1" applyFill="1" applyBorder="1" applyAlignment="1">
      <alignment horizontal="center"/>
    </xf>
    <xf numFmtId="0" fontId="6" fillId="2" borderId="8" xfId="9" applyFont="1" applyFill="1" applyBorder="1" applyAlignment="1">
      <alignment horizontal="center"/>
    </xf>
    <xf numFmtId="0" fontId="6" fillId="2" borderId="0" xfId="9" applyFont="1" applyFill="1" applyAlignment="1">
      <alignment horizontal="center"/>
    </xf>
    <xf numFmtId="0" fontId="6" fillId="2" borderId="6" xfId="9" applyFont="1" applyFill="1" applyBorder="1" applyAlignment="1">
      <alignment horizontal="center"/>
    </xf>
    <xf numFmtId="0" fontId="6" fillId="2" borderId="0" xfId="9" applyFont="1" applyFill="1" applyBorder="1" applyAlignment="1">
      <alignment horizontal="center"/>
    </xf>
    <xf numFmtId="0" fontId="6" fillId="2" borderId="5" xfId="9" applyFont="1" applyFill="1" applyBorder="1" applyAlignment="1">
      <alignment horizontal="center"/>
    </xf>
    <xf numFmtId="0" fontId="6" fillId="2" borderId="4" xfId="9" applyFont="1" applyFill="1" applyBorder="1" applyAlignment="1">
      <alignment horizontal="center"/>
    </xf>
    <xf numFmtId="0" fontId="5" fillId="2" borderId="0" xfId="9" applyFont="1" applyFill="1" applyBorder="1" applyAlignment="1">
      <alignment horizontal="center"/>
    </xf>
    <xf numFmtId="0" fontId="5" fillId="2" borderId="0" xfId="9" applyFont="1" applyFill="1" applyBorder="1" applyAlignment="1">
      <alignment horizontal="right"/>
    </xf>
    <xf numFmtId="0" fontId="5" fillId="2" borderId="6" xfId="9" applyFill="1" applyBorder="1"/>
    <xf numFmtId="10" fontId="0" fillId="2" borderId="7" xfId="6" applyNumberFormat="1" applyFont="1" applyFill="1" applyBorder="1" applyAlignment="1">
      <alignment horizontal="center"/>
    </xf>
    <xf numFmtId="0" fontId="5" fillId="2" borderId="7" xfId="9" applyFill="1" applyBorder="1"/>
    <xf numFmtId="0" fontId="0" fillId="2" borderId="0" xfId="0" applyFill="1" applyAlignment="1">
      <alignment horizontal="right"/>
    </xf>
    <xf numFmtId="0" fontId="0" fillId="2" borderId="15" xfId="0" applyFill="1" applyBorder="1" applyAlignment="1">
      <alignment horizontal="center"/>
    </xf>
    <xf numFmtId="9" fontId="0" fillId="2" borderId="15" xfId="0" applyNumberFormat="1" applyFill="1" applyBorder="1" applyAlignment="1">
      <alignment horizontal="center"/>
    </xf>
    <xf numFmtId="10" fontId="0" fillId="2" borderId="15" xfId="0" applyNumberFormat="1" applyFill="1" applyBorder="1" applyAlignment="1">
      <alignment horizontal="center"/>
    </xf>
    <xf numFmtId="0" fontId="0" fillId="2" borderId="0" xfId="0" applyFill="1" applyBorder="1" applyAlignment="1">
      <alignment horizontal="center"/>
    </xf>
    <xf numFmtId="10" fontId="0" fillId="2" borderId="0" xfId="0" applyNumberFormat="1" applyFill="1" applyBorder="1" applyAlignment="1">
      <alignment horizontal="center"/>
    </xf>
    <xf numFmtId="0" fontId="24" fillId="2" borderId="0" xfId="0" applyFont="1" applyFill="1" applyBorder="1"/>
    <xf numFmtId="0" fontId="6" fillId="2" borderId="0" xfId="0" applyFont="1" applyFill="1" applyBorder="1"/>
    <xf numFmtId="0" fontId="26" fillId="2" borderId="0" xfId="0" applyFont="1" applyFill="1" applyBorder="1"/>
    <xf numFmtId="0" fontId="6" fillId="6" borderId="0" xfId="0" applyFont="1" applyFill="1" applyBorder="1" applyAlignment="1">
      <alignment horizontal="center"/>
    </xf>
    <xf numFmtId="0" fontId="0" fillId="3" borderId="0" xfId="0" applyFill="1" applyBorder="1"/>
    <xf numFmtId="0" fontId="27" fillId="2" borderId="0" xfId="0" applyFont="1" applyFill="1" applyBorder="1"/>
    <xf numFmtId="0" fontId="28" fillId="2" borderId="0" xfId="0" applyFont="1" applyFill="1" applyBorder="1"/>
    <xf numFmtId="0" fontId="29" fillId="2" borderId="0" xfId="0" applyFont="1" applyFill="1" applyBorder="1"/>
    <xf numFmtId="164" fontId="0" fillId="2" borderId="0" xfId="0" applyNumberFormat="1" applyFill="1" applyBorder="1"/>
    <xf numFmtId="0" fontId="30" fillId="2" borderId="0" xfId="0" applyFont="1" applyFill="1" applyBorder="1"/>
    <xf numFmtId="0" fontId="30" fillId="2" borderId="11" xfId="0" applyFont="1" applyFill="1" applyBorder="1"/>
    <xf numFmtId="0" fontId="30" fillId="2" borderId="9" xfId="0" applyFont="1" applyFill="1" applyBorder="1"/>
    <xf numFmtId="0" fontId="30" fillId="2" borderId="10" xfId="0" applyFont="1" applyFill="1" applyBorder="1"/>
    <xf numFmtId="0" fontId="0" fillId="12" borderId="0" xfId="0" applyFill="1" applyBorder="1"/>
    <xf numFmtId="0" fontId="6" fillId="3" borderId="0" xfId="0" applyFont="1" applyFill="1" applyBorder="1"/>
    <xf numFmtId="0" fontId="5" fillId="3" borderId="0" xfId="0" applyFont="1" applyFill="1" applyBorder="1"/>
    <xf numFmtId="0" fontId="6" fillId="2" borderId="2" xfId="0" applyFont="1" applyFill="1" applyBorder="1"/>
    <xf numFmtId="167" fontId="0" fillId="2" borderId="0" xfId="24" applyFont="1" applyFill="1" applyBorder="1"/>
    <xf numFmtId="0" fontId="5" fillId="12" borderId="5" xfId="0" applyFont="1" applyFill="1" applyBorder="1"/>
    <xf numFmtId="0" fontId="5" fillId="2" borderId="0" xfId="0" applyFont="1" applyFill="1" applyBorder="1"/>
    <xf numFmtId="0" fontId="0" fillId="12" borderId="5" xfId="0" applyFill="1" applyBorder="1"/>
    <xf numFmtId="0" fontId="6" fillId="3" borderId="15" xfId="0" applyFont="1" applyFill="1" applyBorder="1"/>
    <xf numFmtId="164" fontId="6" fillId="3" borderId="15" xfId="0" applyNumberFormat="1" applyFont="1" applyFill="1" applyBorder="1"/>
    <xf numFmtId="0" fontId="0" fillId="3" borderId="5" xfId="0" applyFill="1" applyBorder="1"/>
    <xf numFmtId="0" fontId="27" fillId="3" borderId="0" xfId="0" applyFont="1" applyFill="1" applyBorder="1"/>
    <xf numFmtId="0" fontId="29" fillId="3" borderId="0" xfId="0" applyFont="1" applyFill="1" applyBorder="1"/>
    <xf numFmtId="164" fontId="0" fillId="3" borderId="0" xfId="0" applyNumberFormat="1" applyFill="1" applyBorder="1"/>
    <xf numFmtId="2" fontId="6" fillId="3" borderId="0" xfId="0" applyNumberFormat="1" applyFont="1" applyFill="1" applyBorder="1"/>
    <xf numFmtId="0" fontId="6" fillId="3" borderId="9" xfId="0" applyFont="1" applyFill="1" applyBorder="1"/>
    <xf numFmtId="0" fontId="5" fillId="3" borderId="10" xfId="0" applyFont="1" applyFill="1" applyBorder="1"/>
    <xf numFmtId="0" fontId="6" fillId="3" borderId="10" xfId="0" applyFont="1" applyFill="1" applyBorder="1"/>
    <xf numFmtId="0" fontId="0" fillId="3" borderId="10" xfId="0" applyFill="1" applyBorder="1"/>
    <xf numFmtId="0" fontId="0" fillId="3" borderId="11" xfId="0" applyFill="1" applyBorder="1"/>
    <xf numFmtId="0" fontId="0" fillId="0" borderId="4" xfId="0" applyBorder="1"/>
    <xf numFmtId="2" fontId="6" fillId="3" borderId="9" xfId="0" applyNumberFormat="1" applyFont="1" applyFill="1" applyBorder="1"/>
    <xf numFmtId="0" fontId="0" fillId="3" borderId="7" xfId="0" applyFill="1" applyBorder="1"/>
    <xf numFmtId="0" fontId="0" fillId="3" borderId="8" xfId="0" applyFill="1" applyBorder="1"/>
    <xf numFmtId="0" fontId="3" fillId="2" borderId="0" xfId="20" applyFill="1"/>
    <xf numFmtId="0" fontId="3" fillId="2" borderId="0" xfId="20" applyFill="1" applyBorder="1"/>
    <xf numFmtId="0" fontId="3" fillId="8" borderId="0" xfId="20" applyFill="1"/>
    <xf numFmtId="0" fontId="6" fillId="2" borderId="0" xfId="0" applyFont="1" applyFill="1" applyAlignment="1">
      <alignment horizontal="left"/>
    </xf>
    <xf numFmtId="0" fontId="5" fillId="2" borderId="0" xfId="0" applyFont="1" applyFill="1" applyBorder="1" applyAlignment="1">
      <alignment horizontal="left"/>
    </xf>
    <xf numFmtId="0" fontId="5" fillId="13" borderId="0"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right"/>
    </xf>
    <xf numFmtId="2" fontId="0" fillId="0" borderId="0" xfId="0" applyNumberFormat="1" applyFill="1"/>
    <xf numFmtId="2" fontId="0" fillId="13" borderId="0" xfId="0" applyNumberFormat="1" applyFill="1" applyProtection="1">
      <protection locked="0"/>
    </xf>
    <xf numFmtId="0" fontId="0" fillId="0" borderId="0" xfId="0" applyFill="1" applyAlignment="1">
      <alignment horizontal="left"/>
    </xf>
    <xf numFmtId="0" fontId="6" fillId="0" borderId="0" xfId="0" applyFont="1" applyFill="1" applyBorder="1" applyAlignment="1">
      <alignment horizontal="right"/>
    </xf>
    <xf numFmtId="2" fontId="6" fillId="0" borderId="0" xfId="0" applyNumberFormat="1" applyFont="1" applyFill="1" applyBorder="1"/>
    <xf numFmtId="0" fontId="6" fillId="0" borderId="0" xfId="0" applyFont="1" applyFill="1" applyBorder="1"/>
    <xf numFmtId="0" fontId="6" fillId="0" borderId="0" xfId="0" applyFont="1" applyFill="1" applyAlignment="1">
      <alignment horizontal="left"/>
    </xf>
    <xf numFmtId="0" fontId="0" fillId="2" borderId="1" xfId="0" applyFill="1" applyBorder="1" applyAlignment="1">
      <alignment horizontal="right"/>
    </xf>
    <xf numFmtId="0" fontId="0" fillId="2" borderId="6" xfId="0" applyFill="1" applyBorder="1" applyAlignment="1">
      <alignment horizontal="right"/>
    </xf>
    <xf numFmtId="0" fontId="0" fillId="2" borderId="7" xfId="0" applyFill="1" applyBorder="1" applyAlignment="1">
      <alignment horizontal="center"/>
    </xf>
    <xf numFmtId="0" fontId="0" fillId="2" borderId="7" xfId="0" applyFill="1" applyBorder="1" applyAlignment="1">
      <alignment horizontal="right"/>
    </xf>
    <xf numFmtId="0" fontId="5" fillId="13" borderId="0" xfId="0" applyFont="1" applyFill="1"/>
    <xf numFmtId="0" fontId="0" fillId="2" borderId="4" xfId="0" applyFill="1" applyBorder="1" applyAlignment="1">
      <alignment horizontal="left"/>
    </xf>
    <xf numFmtId="0" fontId="0" fillId="2" borderId="6" xfId="0" applyFill="1" applyBorder="1" applyAlignment="1">
      <alignment horizontal="left"/>
    </xf>
    <xf numFmtId="0" fontId="0" fillId="2" borderId="0" xfId="0" applyFill="1" applyBorder="1" applyAlignment="1">
      <alignment horizontal="left"/>
    </xf>
    <xf numFmtId="0" fontId="0" fillId="13" borderId="0" xfId="0" applyFill="1" applyBorder="1" applyAlignment="1">
      <alignment horizontal="right"/>
    </xf>
    <xf numFmtId="0" fontId="0" fillId="13" borderId="0" xfId="0" applyFill="1" applyAlignment="1">
      <alignment horizontal="right"/>
    </xf>
    <xf numFmtId="12" fontId="0" fillId="2" borderId="0" xfId="0" applyNumberFormat="1" applyFill="1"/>
    <xf numFmtId="0" fontId="0" fillId="2" borderId="0" xfId="0" applyFill="1" applyBorder="1" applyAlignment="1">
      <alignment horizontal="right"/>
    </xf>
    <xf numFmtId="0" fontId="0" fillId="13" borderId="0" xfId="0" applyFill="1"/>
    <xf numFmtId="1" fontId="0" fillId="2" borderId="0" xfId="0" applyNumberFormat="1" applyFill="1"/>
    <xf numFmtId="1" fontId="0" fillId="2" borderId="0" xfId="0" applyNumberFormat="1" applyFill="1" applyAlignment="1">
      <alignment horizontal="center"/>
    </xf>
    <xf numFmtId="0" fontId="5" fillId="2" borderId="0" xfId="0" applyFont="1" applyFill="1" applyAlignment="1">
      <alignment horizontal="left"/>
    </xf>
    <xf numFmtId="0" fontId="5" fillId="2" borderId="0" xfId="0" applyFont="1" applyFill="1" applyAlignment="1">
      <alignment horizontal="right"/>
    </xf>
    <xf numFmtId="0" fontId="5" fillId="14" borderId="0" xfId="0" applyFont="1" applyFill="1"/>
    <xf numFmtId="164" fontId="5" fillId="14" borderId="0" xfId="0" applyNumberFormat="1" applyFont="1" applyFill="1"/>
    <xf numFmtId="170" fontId="5" fillId="2" borderId="0" xfId="0" applyNumberFormat="1" applyFont="1" applyFill="1"/>
    <xf numFmtId="0" fontId="6" fillId="2" borderId="0" xfId="0" applyFont="1" applyFill="1" applyAlignment="1">
      <alignment horizontal="right"/>
    </xf>
    <xf numFmtId="0" fontId="5" fillId="2" borderId="15" xfId="0" applyFont="1" applyFill="1" applyBorder="1" applyAlignment="1">
      <alignment horizontal="center"/>
    </xf>
    <xf numFmtId="0" fontId="5" fillId="13" borderId="0" xfId="0" applyFont="1" applyFill="1" applyAlignment="1"/>
    <xf numFmtId="2" fontId="5" fillId="13" borderId="0" xfId="0" applyNumberFormat="1" applyFont="1" applyFill="1"/>
    <xf numFmtId="1" fontId="5" fillId="2" borderId="0" xfId="0" applyNumberFormat="1" applyFont="1" applyFill="1"/>
    <xf numFmtId="0" fontId="6" fillId="2" borderId="0" xfId="0" applyFont="1" applyFill="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1" fontId="0" fillId="0" borderId="0" xfId="0" applyNumberFormat="1"/>
    <xf numFmtId="0" fontId="0" fillId="0" borderId="0" xfId="0" applyFont="1" applyAlignment="1">
      <alignment horizontal="right"/>
    </xf>
    <xf numFmtId="0" fontId="5" fillId="0" borderId="0" xfId="0" applyFont="1" applyAlignment="1">
      <alignment horizontal="right"/>
    </xf>
    <xf numFmtId="0" fontId="5" fillId="15" borderId="1" xfId="0" applyFont="1" applyFill="1" applyBorder="1" applyAlignment="1">
      <alignment horizontal="right"/>
    </xf>
    <xf numFmtId="2" fontId="5" fillId="15" borderId="2" xfId="0" applyNumberFormat="1" applyFont="1" applyFill="1" applyBorder="1" applyAlignment="1">
      <alignment horizontal="right"/>
    </xf>
    <xf numFmtId="2" fontId="5" fillId="15" borderId="3" xfId="0" applyNumberFormat="1" applyFont="1" applyFill="1" applyBorder="1" applyAlignment="1">
      <alignment horizontal="right"/>
    </xf>
    <xf numFmtId="0" fontId="5" fillId="2" borderId="4" xfId="0" applyFont="1" applyFill="1" applyBorder="1" applyAlignment="1">
      <alignment horizontal="right"/>
    </xf>
    <xf numFmtId="0" fontId="5" fillId="2" borderId="5" xfId="0" applyFont="1" applyFill="1" applyBorder="1"/>
    <xf numFmtId="0" fontId="5" fillId="15" borderId="4" xfId="0" applyFont="1" applyFill="1" applyBorder="1" applyAlignment="1">
      <alignment horizontal="right"/>
    </xf>
    <xf numFmtId="0" fontId="5" fillId="2" borderId="6" xfId="0" applyFont="1" applyFill="1" applyBorder="1" applyAlignment="1">
      <alignment horizontal="right"/>
    </xf>
    <xf numFmtId="0" fontId="5" fillId="2" borderId="7" xfId="0" applyFont="1" applyFill="1" applyBorder="1"/>
    <xf numFmtId="0" fontId="5" fillId="2" borderId="8" xfId="0" applyFont="1" applyFill="1" applyBorder="1"/>
    <xf numFmtId="0" fontId="6" fillId="2" borderId="1" xfId="0" applyFont="1" applyFill="1" applyBorder="1" applyAlignment="1">
      <alignment horizontal="center"/>
    </xf>
    <xf numFmtId="0" fontId="5" fillId="2" borderId="2" xfId="0" applyFont="1" applyFill="1" applyBorder="1" applyAlignment="1">
      <alignment horizontal="right"/>
    </xf>
    <xf numFmtId="0" fontId="5" fillId="2" borderId="2" xfId="0" applyFont="1" applyFill="1" applyBorder="1"/>
    <xf numFmtId="0" fontId="5" fillId="2" borderId="3" xfId="0" applyFont="1" applyFill="1" applyBorder="1"/>
    <xf numFmtId="0" fontId="6" fillId="2" borderId="4" xfId="0" applyFont="1" applyFill="1" applyBorder="1" applyAlignment="1">
      <alignment horizontal="center"/>
    </xf>
    <xf numFmtId="0" fontId="5" fillId="2" borderId="4" xfId="0" applyFont="1" applyFill="1" applyBorder="1"/>
    <xf numFmtId="0" fontId="5" fillId="2" borderId="0" xfId="0" applyFont="1" applyFill="1" applyBorder="1" applyAlignment="1">
      <alignment horizontal="right"/>
    </xf>
    <xf numFmtId="0" fontId="5" fillId="13" borderId="0" xfId="0" applyFont="1" applyFill="1" applyBorder="1"/>
    <xf numFmtId="2" fontId="5" fillId="2" borderId="0" xfId="0" applyNumberFormat="1" applyFont="1" applyFill="1" applyBorder="1"/>
    <xf numFmtId="0" fontId="5" fillId="2" borderId="6" xfId="0" applyFont="1" applyFill="1" applyBorder="1"/>
    <xf numFmtId="0" fontId="5" fillId="2" borderId="7" xfId="0" applyFont="1" applyFill="1" applyBorder="1" applyAlignment="1">
      <alignment horizontal="right"/>
    </xf>
    <xf numFmtId="0" fontId="5" fillId="2" borderId="1" xfId="0" applyFont="1" applyFill="1" applyBorder="1"/>
    <xf numFmtId="0" fontId="0" fillId="2" borderId="0" xfId="0" applyFont="1" applyFill="1" applyBorder="1" applyAlignment="1">
      <alignment horizontal="left"/>
    </xf>
    <xf numFmtId="0" fontId="5" fillId="0" borderId="0" xfId="0" applyFont="1" applyFill="1" applyBorder="1"/>
    <xf numFmtId="0" fontId="6" fillId="2" borderId="0" xfId="0" applyFont="1" applyFill="1" applyBorder="1" applyAlignment="1">
      <alignment horizontal="right"/>
    </xf>
    <xf numFmtId="2" fontId="5" fillId="3" borderId="0" xfId="0" applyNumberFormat="1" applyFont="1" applyFill="1" applyBorder="1"/>
    <xf numFmtId="0" fontId="0" fillId="2" borderId="0" xfId="0" applyFont="1" applyFill="1" applyBorder="1"/>
    <xf numFmtId="1" fontId="5" fillId="2" borderId="0" xfId="0" applyNumberFormat="1" applyFont="1" applyFill="1" applyBorder="1"/>
    <xf numFmtId="0" fontId="6" fillId="2" borderId="6" xfId="0" applyFont="1" applyFill="1" applyBorder="1" applyAlignment="1">
      <alignment horizontal="center"/>
    </xf>
    <xf numFmtId="1" fontId="5" fillId="2" borderId="7" xfId="0" applyNumberFormat="1" applyFont="1" applyFill="1" applyBorder="1"/>
    <xf numFmtId="165" fontId="0" fillId="2" borderId="0" xfId="0" applyNumberFormat="1" applyFill="1"/>
    <xf numFmtId="0" fontId="0" fillId="2" borderId="2" xfId="0" applyFill="1" applyBorder="1" applyAlignment="1">
      <alignment horizontal="right"/>
    </xf>
    <xf numFmtId="0" fontId="26" fillId="0" borderId="0" xfId="0" applyFont="1" applyFill="1"/>
    <xf numFmtId="0" fontId="0" fillId="2" borderId="0" xfId="0" applyFill="1" applyAlignment="1">
      <alignment horizontal="left"/>
    </xf>
    <xf numFmtId="0" fontId="0" fillId="16" borderId="0" xfId="0" applyFill="1"/>
    <xf numFmtId="0" fontId="0" fillId="16" borderId="0" xfId="0" applyFill="1" applyAlignment="1">
      <alignment horizontal="right"/>
    </xf>
    <xf numFmtId="0" fontId="32" fillId="2" borderId="0" xfId="0" applyFont="1" applyFill="1"/>
    <xf numFmtId="0" fontId="0" fillId="17" borderId="0" xfId="0" applyFill="1"/>
    <xf numFmtId="2" fontId="0" fillId="2" borderId="0" xfId="0" applyNumberFormat="1" applyFill="1"/>
    <xf numFmtId="0" fontId="0" fillId="18" borderId="2" xfId="0" applyFont="1" applyFill="1" applyBorder="1" applyAlignment="1">
      <alignment horizontal="center"/>
    </xf>
    <xf numFmtId="0" fontId="0" fillId="18" borderId="7" xfId="0" applyFont="1" applyFill="1" applyBorder="1" applyAlignment="1">
      <alignment horizontal="center"/>
    </xf>
    <xf numFmtId="0" fontId="0" fillId="18" borderId="2" xfId="0" applyFill="1" applyBorder="1" applyAlignment="1">
      <alignment horizontal="center"/>
    </xf>
    <xf numFmtId="0" fontId="0" fillId="18" borderId="0" xfId="0" applyFill="1" applyBorder="1" applyAlignment="1">
      <alignment horizontal="center"/>
    </xf>
    <xf numFmtId="0" fontId="0" fillId="18" borderId="7" xfId="0" applyFill="1" applyBorder="1" applyAlignment="1">
      <alignment horizontal="center"/>
    </xf>
    <xf numFmtId="0" fontId="6" fillId="0" borderId="0" xfId="0" applyFont="1"/>
    <xf numFmtId="0" fontId="0" fillId="6" borderId="15" xfId="0" applyFill="1" applyBorder="1"/>
    <xf numFmtId="0" fontId="0" fillId="0" borderId="0" xfId="0" applyFill="1" applyBorder="1" applyAlignment="1">
      <alignment horizontal="right"/>
    </xf>
    <xf numFmtId="0" fontId="0" fillId="0" borderId="0" xfId="0" applyFill="1" applyBorder="1" applyAlignment="1">
      <alignment horizontal="left"/>
    </xf>
    <xf numFmtId="172" fontId="0" fillId="0" borderId="0" xfId="0" applyNumberFormat="1"/>
    <xf numFmtId="173" fontId="0" fillId="0" borderId="0" xfId="0" applyNumberFormat="1"/>
    <xf numFmtId="0" fontId="0" fillId="0" borderId="16" xfId="0" applyBorder="1" applyAlignment="1">
      <alignment horizontal="right"/>
    </xf>
    <xf numFmtId="2" fontId="0" fillId="0" borderId="17" xfId="0" applyNumberFormat="1" applyBorder="1"/>
    <xf numFmtId="0" fontId="0" fillId="0" borderId="18" xfId="0" applyBorder="1"/>
    <xf numFmtId="0" fontId="0" fillId="0" borderId="19" xfId="0" applyBorder="1" applyAlignment="1">
      <alignment horizontal="right"/>
    </xf>
    <xf numFmtId="2" fontId="0" fillId="0" borderId="0" xfId="0" applyNumberFormat="1" applyBorder="1"/>
    <xf numFmtId="0" fontId="0" fillId="0" borderId="20" xfId="0" applyBorder="1"/>
    <xf numFmtId="0" fontId="0" fillId="0" borderId="19" xfId="0" applyBorder="1"/>
    <xf numFmtId="0" fontId="0" fillId="0" borderId="21" xfId="0" applyBorder="1" applyAlignment="1">
      <alignment horizontal="right"/>
    </xf>
    <xf numFmtId="2" fontId="0" fillId="0" borderId="22" xfId="0" applyNumberFormat="1" applyBorder="1"/>
    <xf numFmtId="0" fontId="0" fillId="0" borderId="23" xfId="0" applyBorder="1"/>
    <xf numFmtId="3" fontId="0" fillId="0" borderId="0" xfId="0" applyNumberFormat="1"/>
    <xf numFmtId="0" fontId="5" fillId="0" borderId="0" xfId="0" applyFont="1"/>
    <xf numFmtId="0" fontId="5" fillId="0" borderId="0" xfId="0" applyFont="1" applyFill="1" applyAlignment="1">
      <alignment horizontal="right"/>
    </xf>
    <xf numFmtId="3" fontId="0" fillId="2" borderId="0" xfId="0" applyNumberFormat="1" applyFill="1"/>
    <xf numFmtId="0" fontId="0" fillId="0" borderId="0" xfId="0" applyAlignment="1">
      <alignment horizontal="center"/>
    </xf>
    <xf numFmtId="0" fontId="6" fillId="0" borderId="0" xfId="0" applyFont="1" applyAlignment="1">
      <alignment horizontal="center"/>
    </xf>
    <xf numFmtId="164" fontId="0" fillId="0" borderId="0" xfId="0" applyNumberFormat="1" applyAlignment="1">
      <alignment horizontal="center"/>
    </xf>
    <xf numFmtId="3" fontId="6" fillId="0" borderId="0" xfId="0" applyNumberFormat="1" applyFont="1" applyAlignment="1">
      <alignment horizontal="center"/>
    </xf>
    <xf numFmtId="4" fontId="0" fillId="0" borderId="0" xfId="0" applyNumberFormat="1"/>
    <xf numFmtId="2" fontId="0" fillId="16" borderId="0" xfId="0" applyNumberFormat="1" applyFill="1"/>
    <xf numFmtId="174" fontId="0" fillId="0" borderId="0" xfId="0" applyNumberFormat="1"/>
    <xf numFmtId="174" fontId="0" fillId="16" borderId="0" xfId="0" applyNumberFormat="1" applyFill="1"/>
    <xf numFmtId="0" fontId="0" fillId="6" borderId="0" xfId="0" applyFill="1"/>
    <xf numFmtId="0" fontId="0" fillId="0" borderId="22" xfId="0" applyBorder="1"/>
    <xf numFmtId="175" fontId="0" fillId="0" borderId="0" xfId="0" applyNumberFormat="1"/>
    <xf numFmtId="0" fontId="5" fillId="0" borderId="0" xfId="0" applyFont="1" applyAlignment="1">
      <alignment horizontal="left"/>
    </xf>
    <xf numFmtId="0" fontId="6" fillId="3" borderId="0" xfId="0" applyFont="1" applyFill="1" applyAlignment="1">
      <alignment vertical="top"/>
    </xf>
    <xf numFmtId="0" fontId="0" fillId="3" borderId="0" xfId="0" applyFill="1" applyAlignment="1">
      <alignment vertical="top" wrapText="1"/>
    </xf>
    <xf numFmtId="3" fontId="0" fillId="3" borderId="0" xfId="0" applyNumberFormat="1" applyFill="1"/>
    <xf numFmtId="0" fontId="6" fillId="3" borderId="1" xfId="0" applyFont="1" applyFill="1" applyBorder="1" applyAlignment="1">
      <alignment horizontal="left"/>
    </xf>
    <xf numFmtId="0" fontId="6" fillId="3" borderId="2" xfId="0" applyFont="1" applyFill="1" applyBorder="1" applyAlignment="1">
      <alignment horizontal="right"/>
    </xf>
    <xf numFmtId="3" fontId="0" fillId="3" borderId="3" xfId="0" applyNumberFormat="1" applyFill="1" applyBorder="1"/>
    <xf numFmtId="3" fontId="0" fillId="3" borderId="4" xfId="0" applyNumberFormat="1" applyFill="1" applyBorder="1"/>
    <xf numFmtId="3" fontId="0" fillId="3" borderId="5" xfId="0" applyNumberFormat="1" applyFill="1" applyBorder="1"/>
    <xf numFmtId="0" fontId="0" fillId="3" borderId="4" xfId="0" applyFill="1" applyBorder="1" applyAlignment="1">
      <alignment horizontal="left"/>
    </xf>
    <xf numFmtId="0" fontId="0" fillId="3" borderId="0" xfId="0" applyFill="1" applyBorder="1" applyAlignment="1">
      <alignment horizontal="right"/>
    </xf>
    <xf numFmtId="3" fontId="0" fillId="3" borderId="4" xfId="0" applyNumberFormat="1" applyFill="1" applyBorder="1" applyAlignment="1">
      <alignment horizontal="left"/>
    </xf>
    <xf numFmtId="3" fontId="0" fillId="3" borderId="0" xfId="0" applyNumberFormat="1" applyFill="1" applyBorder="1"/>
    <xf numFmtId="3" fontId="0" fillId="3" borderId="6" xfId="0" applyNumberFormat="1" applyFill="1" applyBorder="1" applyAlignment="1">
      <alignment horizontal="left"/>
    </xf>
    <xf numFmtId="0" fontId="0" fillId="3" borderId="7" xfId="0" applyFill="1" applyBorder="1" applyAlignment="1">
      <alignment horizontal="right"/>
    </xf>
    <xf numFmtId="3" fontId="0" fillId="3" borderId="8" xfId="0" applyNumberFormat="1" applyFill="1" applyBorder="1"/>
    <xf numFmtId="0" fontId="6" fillId="3" borderId="0" xfId="0" applyFont="1" applyFill="1" applyAlignment="1">
      <alignment horizontal="left"/>
    </xf>
    <xf numFmtId="0" fontId="0" fillId="3" borderId="0" xfId="0" applyFill="1" applyAlignment="1">
      <alignment horizontal="center"/>
    </xf>
    <xf numFmtId="0" fontId="0" fillId="3" borderId="0" xfId="0" applyFill="1" applyAlignment="1">
      <alignment vertical="top"/>
    </xf>
    <xf numFmtId="0" fontId="0" fillId="3" borderId="22" xfId="0" applyFill="1" applyBorder="1" applyAlignment="1">
      <alignment horizontal="right"/>
    </xf>
    <xf numFmtId="0" fontId="0" fillId="3" borderId="0" xfId="0" applyFont="1" applyFill="1" applyAlignment="1">
      <alignment horizontal="right"/>
    </xf>
    <xf numFmtId="0" fontId="28" fillId="3" borderId="0" xfId="0" applyFont="1" applyFill="1"/>
    <xf numFmtId="174" fontId="0" fillId="0" borderId="0" xfId="0" applyNumberFormat="1" applyAlignment="1">
      <alignment horizontal="right"/>
    </xf>
    <xf numFmtId="0" fontId="33" fillId="3" borderId="0" xfId="0" applyFont="1" applyFill="1"/>
    <xf numFmtId="0" fontId="0" fillId="3" borderId="0" xfId="0" applyFont="1" applyFill="1" applyAlignment="1">
      <alignment vertical="top" wrapText="1"/>
    </xf>
    <xf numFmtId="3" fontId="0" fillId="6" borderId="0" xfId="0" applyNumberFormat="1" applyFill="1"/>
    <xf numFmtId="4" fontId="0" fillId="6" borderId="0" xfId="0" applyNumberFormat="1" applyFill="1"/>
    <xf numFmtId="0" fontId="0" fillId="3" borderId="0" xfId="0" applyFill="1" applyAlignment="1">
      <alignment horizontal="right" vertical="top"/>
    </xf>
    <xf numFmtId="4" fontId="0" fillId="6" borderId="0" xfId="0" applyNumberFormat="1" applyFill="1" applyAlignment="1">
      <alignment horizontal="center"/>
    </xf>
    <xf numFmtId="0" fontId="34" fillId="0" borderId="0" xfId="0" applyFont="1"/>
    <xf numFmtId="0" fontId="27" fillId="0" borderId="0" xfId="0" applyFont="1"/>
    <xf numFmtId="0" fontId="36" fillId="0" borderId="0" xfId="0" applyFont="1"/>
    <xf numFmtId="0" fontId="5" fillId="11" borderId="15" xfId="0" applyFont="1" applyFill="1" applyBorder="1"/>
    <xf numFmtId="0" fontId="35" fillId="3" borderId="0" xfId="0" applyFont="1" applyFill="1"/>
    <xf numFmtId="0" fontId="0" fillId="0" borderId="0" xfId="0" applyFont="1" applyFill="1"/>
    <xf numFmtId="170" fontId="0" fillId="2" borderId="0" xfId="0" applyNumberFormat="1" applyFill="1"/>
    <xf numFmtId="170" fontId="0" fillId="0" borderId="0" xfId="0" applyNumberFormat="1" applyFill="1"/>
    <xf numFmtId="0" fontId="31" fillId="3" borderId="0" xfId="0" applyFont="1" applyFill="1"/>
    <xf numFmtId="0" fontId="31" fillId="0" borderId="0" xfId="0" applyFont="1" applyFill="1"/>
    <xf numFmtId="170" fontId="5" fillId="0" borderId="0" xfId="0" applyNumberFormat="1" applyFont="1"/>
    <xf numFmtId="0" fontId="0" fillId="0" borderId="0" xfId="0" applyAlignment="1">
      <alignment horizontal="left"/>
    </xf>
    <xf numFmtId="0" fontId="31" fillId="0" borderId="0" xfId="0" applyFont="1"/>
    <xf numFmtId="0" fontId="0" fillId="6" borderId="0" xfId="0" applyFill="1" applyAlignment="1"/>
    <xf numFmtId="0" fontId="0" fillId="0" borderId="0" xfId="0" applyAlignment="1"/>
    <xf numFmtId="164" fontId="0" fillId="2" borderId="0" xfId="0" applyNumberFormat="1" applyFill="1"/>
    <xf numFmtId="0" fontId="0" fillId="0" borderId="0" xfId="0" applyFill="1" applyBorder="1"/>
    <xf numFmtId="0" fontId="0" fillId="3" borderId="0" xfId="0" applyFill="1" applyAlignment="1"/>
    <xf numFmtId="0" fontId="26" fillId="2" borderId="0" xfId="0" applyFont="1" applyFill="1"/>
    <xf numFmtId="176" fontId="0" fillId="6" borderId="0" xfId="1" applyNumberFormat="1" applyFont="1" applyFill="1"/>
    <xf numFmtId="0" fontId="6" fillId="2" borderId="0" xfId="18" applyFont="1" applyFill="1" applyAlignment="1">
      <alignment horizontal="right"/>
    </xf>
    <xf numFmtId="0" fontId="10" fillId="2" borderId="0" xfId="18" applyFill="1" applyAlignment="1">
      <alignment horizontal="right"/>
    </xf>
    <xf numFmtId="2" fontId="10" fillId="6" borderId="0" xfId="18" applyNumberFormat="1" applyFill="1"/>
    <xf numFmtId="10" fontId="0" fillId="2" borderId="0" xfId="1" applyNumberFormat="1" applyFont="1" applyFill="1"/>
    <xf numFmtId="10" fontId="10" fillId="2" borderId="0" xfId="18" applyNumberFormat="1" applyFill="1"/>
    <xf numFmtId="0" fontId="10" fillId="2" borderId="9" xfId="18" applyFill="1" applyBorder="1"/>
    <xf numFmtId="0" fontId="10" fillId="2" borderId="11" xfId="18" applyFill="1" applyBorder="1"/>
    <xf numFmtId="0" fontId="10" fillId="13" borderId="0" xfId="18" applyFill="1"/>
    <xf numFmtId="9" fontId="10" fillId="2" borderId="11" xfId="18" applyNumberFormat="1" applyFill="1" applyBorder="1"/>
    <xf numFmtId="9" fontId="10" fillId="2" borderId="0" xfId="18" applyNumberFormat="1" applyFill="1"/>
    <xf numFmtId="0" fontId="10" fillId="13" borderId="0" xfId="18" applyFill="1" applyBorder="1"/>
    <xf numFmtId="0" fontId="10" fillId="19" borderId="0" xfId="18" applyFill="1" applyBorder="1"/>
    <xf numFmtId="9" fontId="10" fillId="19" borderId="0" xfId="18" applyNumberFormat="1" applyFill="1" applyBorder="1"/>
    <xf numFmtId="177" fontId="0" fillId="2" borderId="0" xfId="1" applyNumberFormat="1" applyFont="1" applyFill="1"/>
    <xf numFmtId="178" fontId="10" fillId="2" borderId="0" xfId="18" applyNumberFormat="1" applyFill="1"/>
    <xf numFmtId="171" fontId="6" fillId="2" borderId="0" xfId="1" applyNumberFormat="1" applyFont="1" applyFill="1"/>
    <xf numFmtId="171" fontId="0" fillId="2" borderId="0" xfId="1" applyNumberFormat="1" applyFont="1" applyFill="1"/>
    <xf numFmtId="0" fontId="10" fillId="2" borderId="1" xfId="18" applyFill="1" applyBorder="1"/>
    <xf numFmtId="0" fontId="10" fillId="2" borderId="2" xfId="18" applyFill="1" applyBorder="1" applyAlignment="1">
      <alignment horizontal="right"/>
    </xf>
    <xf numFmtId="171" fontId="0" fillId="2" borderId="3" xfId="1" applyNumberFormat="1" applyFont="1" applyFill="1" applyBorder="1"/>
    <xf numFmtId="0" fontId="10" fillId="2" borderId="4" xfId="18" applyFill="1" applyBorder="1"/>
    <xf numFmtId="0" fontId="10" fillId="2" borderId="0" xfId="18" applyFill="1" applyBorder="1" applyAlignment="1">
      <alignment horizontal="right"/>
    </xf>
    <xf numFmtId="171" fontId="0" fillId="2" borderId="5" xfId="1" applyNumberFormat="1" applyFont="1" applyFill="1" applyBorder="1"/>
    <xf numFmtId="0" fontId="10" fillId="2" borderId="6" xfId="18" applyFill="1" applyBorder="1"/>
    <xf numFmtId="0" fontId="10" fillId="2" borderId="7" xfId="18" applyFill="1" applyBorder="1" applyAlignment="1">
      <alignment horizontal="right"/>
    </xf>
    <xf numFmtId="171" fontId="0" fillId="2" borderId="8" xfId="1" applyNumberFormat="1" applyFont="1" applyFill="1" applyBorder="1"/>
    <xf numFmtId="0" fontId="6" fillId="2" borderId="0" xfId="18" applyFont="1" applyFill="1"/>
    <xf numFmtId="171" fontId="10" fillId="2" borderId="0" xfId="18" applyNumberFormat="1" applyFill="1"/>
    <xf numFmtId="9" fontId="0" fillId="20" borderId="15" xfId="1" applyFont="1" applyFill="1" applyBorder="1"/>
    <xf numFmtId="0" fontId="10" fillId="20" borderId="15" xfId="18" applyFill="1" applyBorder="1"/>
    <xf numFmtId="10" fontId="0" fillId="6" borderId="0" xfId="1" applyNumberFormat="1" applyFont="1" applyFill="1"/>
    <xf numFmtId="10" fontId="0" fillId="2" borderId="0" xfId="0" applyNumberFormat="1" applyFill="1"/>
    <xf numFmtId="10" fontId="0" fillId="2" borderId="7" xfId="1" applyNumberFormat="1" applyFont="1" applyFill="1" applyBorder="1"/>
    <xf numFmtId="178" fontId="0" fillId="2" borderId="0" xfId="1" applyNumberFormat="1" applyFont="1" applyFill="1"/>
    <xf numFmtId="0" fontId="0" fillId="2" borderId="0" xfId="18" applyFont="1" applyFill="1" applyAlignment="1">
      <alignment horizontal="right"/>
    </xf>
    <xf numFmtId="0" fontId="0" fillId="2" borderId="0" xfId="18" applyFont="1" applyFill="1" applyAlignment="1">
      <alignment horizontal="left"/>
    </xf>
    <xf numFmtId="0" fontId="0" fillId="2" borderId="0" xfId="18" applyFont="1" applyFill="1"/>
    <xf numFmtId="0" fontId="0" fillId="3" borderId="0" xfId="18" applyFont="1" applyFill="1" applyAlignment="1">
      <alignment horizontal="right"/>
    </xf>
    <xf numFmtId="171" fontId="10" fillId="20" borderId="15" xfId="18" applyNumberFormat="1" applyFill="1" applyBorder="1"/>
    <xf numFmtId="2" fontId="0" fillId="0" borderId="15" xfId="0" applyNumberFormat="1" applyFill="1" applyBorder="1"/>
    <xf numFmtId="2" fontId="0" fillId="2" borderId="15" xfId="0" applyNumberFormat="1" applyFill="1" applyBorder="1"/>
    <xf numFmtId="164" fontId="0" fillId="2" borderId="15" xfId="0" applyNumberFormat="1" applyFill="1" applyBorder="1"/>
    <xf numFmtId="10" fontId="0" fillId="2" borderId="15" xfId="0" applyNumberFormat="1" applyFill="1" applyBorder="1"/>
    <xf numFmtId="0" fontId="6" fillId="0" borderId="0" xfId="0" applyFont="1" applyFill="1" applyBorder="1" applyAlignment="1">
      <alignment horizontal="left"/>
    </xf>
    <xf numFmtId="0" fontId="37" fillId="0" borderId="0" xfId="0" applyFont="1" applyFill="1" applyBorder="1" applyAlignment="1">
      <alignment horizontal="center"/>
    </xf>
    <xf numFmtId="0" fontId="6" fillId="0" borderId="4" xfId="0" applyFont="1" applyBorder="1" applyAlignment="1">
      <alignment horizontal="center"/>
    </xf>
    <xf numFmtId="2" fontId="0" fillId="6" borderId="0" xfId="0" applyNumberFormat="1" applyFill="1" applyAlignment="1">
      <alignment horizontal="center"/>
    </xf>
    <xf numFmtId="171" fontId="5" fillId="0" borderId="0" xfId="1" applyNumberFormat="1" applyAlignment="1">
      <alignment horizontal="center"/>
    </xf>
    <xf numFmtId="170" fontId="39" fillId="0" borderId="0" xfId="0" applyNumberFormat="1" applyFont="1" applyAlignment="1">
      <alignment horizontal="center"/>
    </xf>
    <xf numFmtId="0" fontId="40" fillId="0" borderId="0" xfId="0" applyFont="1" applyAlignment="1">
      <alignment horizontal="center"/>
    </xf>
    <xf numFmtId="10" fontId="40" fillId="0" borderId="0" xfId="0" applyNumberFormat="1" applyFont="1" applyAlignment="1">
      <alignment horizontal="center"/>
    </xf>
    <xf numFmtId="171" fontId="40" fillId="0" borderId="0" xfId="0" applyNumberFormat="1" applyFont="1" applyAlignment="1">
      <alignment horizontal="center"/>
    </xf>
    <xf numFmtId="171" fontId="0" fillId="0" borderId="4" xfId="0" applyNumberFormat="1" applyBorder="1" applyAlignment="1">
      <alignment horizontal="center"/>
    </xf>
    <xf numFmtId="171" fontId="26" fillId="0" borderId="0" xfId="1" applyNumberFormat="1" applyFont="1" applyAlignment="1">
      <alignment horizontal="center"/>
    </xf>
    <xf numFmtId="171" fontId="26" fillId="0" borderId="0" xfId="0" applyNumberFormat="1" applyFont="1" applyAlignment="1">
      <alignment horizontal="center"/>
    </xf>
    <xf numFmtId="0" fontId="0" fillId="0" borderId="4" xfId="0" applyBorder="1" applyAlignment="1">
      <alignment horizontal="center"/>
    </xf>
    <xf numFmtId="0" fontId="39" fillId="0" borderId="0" xfId="0" applyFont="1" applyAlignment="1">
      <alignment horizontal="center"/>
    </xf>
    <xf numFmtId="171" fontId="26" fillId="0" borderId="0" xfId="0" applyNumberFormat="1" applyFont="1" applyAlignment="1">
      <alignment horizontal="center" vertical="top"/>
    </xf>
    <xf numFmtId="10" fontId="39" fillId="0" borderId="0" xfId="0" applyNumberFormat="1" applyFont="1" applyAlignment="1">
      <alignment horizontal="center"/>
    </xf>
    <xf numFmtId="171" fontId="26" fillId="0" borderId="0" xfId="1" applyNumberFormat="1" applyFont="1" applyAlignment="1">
      <alignment horizontal="center" vertical="top"/>
    </xf>
    <xf numFmtId="0" fontId="39" fillId="0" borderId="0" xfId="0" applyFont="1"/>
    <xf numFmtId="0" fontId="37" fillId="0" borderId="0" xfId="0" applyFont="1" applyFill="1" applyBorder="1" applyAlignment="1">
      <alignment horizontal="left"/>
    </xf>
    <xf numFmtId="0" fontId="6" fillId="0" borderId="0" xfId="0" applyFont="1" applyAlignment="1">
      <alignment horizontal="left"/>
    </xf>
    <xf numFmtId="0" fontId="0" fillId="0" borderId="0" xfId="0" applyFill="1" applyBorder="1" applyAlignment="1">
      <alignment horizontal="center"/>
    </xf>
    <xf numFmtId="2" fontId="0" fillId="0" borderId="0" xfId="0" applyNumberFormat="1" applyFill="1" applyBorder="1"/>
    <xf numFmtId="0" fontId="0" fillId="20" borderId="0" xfId="0" applyFill="1" applyAlignment="1">
      <alignment horizontal="center"/>
    </xf>
    <xf numFmtId="2" fontId="0" fillId="20" borderId="15" xfId="0" applyNumberFormat="1" applyFill="1" applyBorder="1"/>
    <xf numFmtId="0" fontId="6" fillId="2" borderId="1" xfId="0" applyFont="1" applyFill="1" applyBorder="1"/>
    <xf numFmtId="2" fontId="0" fillId="20" borderId="4" xfId="0" applyNumberFormat="1" applyFill="1" applyBorder="1"/>
    <xf numFmtId="2" fontId="0" fillId="2" borderId="4" xfId="0" applyNumberFormat="1" applyFill="1" applyBorder="1"/>
    <xf numFmtId="165" fontId="0" fillId="2" borderId="6" xfId="0" applyNumberFormat="1" applyFill="1" applyBorder="1"/>
    <xf numFmtId="10" fontId="0" fillId="2" borderId="8" xfId="0" applyNumberFormat="1" applyFill="1" applyBorder="1" applyAlignment="1">
      <alignment horizontal="center"/>
    </xf>
    <xf numFmtId="9" fontId="0" fillId="2" borderId="0" xfId="0" applyNumberFormat="1" applyFill="1"/>
    <xf numFmtId="9" fontId="0" fillId="6" borderId="0" xfId="0" applyNumberFormat="1" applyFill="1" applyAlignment="1">
      <alignment horizontal="center"/>
    </xf>
    <xf numFmtId="179" fontId="0" fillId="6" borderId="0" xfId="25" applyNumberFormat="1" applyFont="1" applyFill="1"/>
    <xf numFmtId="179" fontId="0" fillId="2" borderId="0" xfId="25" applyNumberFormat="1" applyFont="1" applyFill="1"/>
    <xf numFmtId="179" fontId="0" fillId="2" borderId="0" xfId="0" applyNumberFormat="1" applyFill="1" applyBorder="1"/>
    <xf numFmtId="0" fontId="0" fillId="2" borderId="16" xfId="0" applyFill="1" applyBorder="1"/>
    <xf numFmtId="180" fontId="0" fillId="2" borderId="18" xfId="1" applyNumberFormat="1" applyFont="1" applyFill="1" applyBorder="1"/>
    <xf numFmtId="0" fontId="0" fillId="2" borderId="19" xfId="0" applyFill="1" applyBorder="1"/>
    <xf numFmtId="180" fontId="0" fillId="2" borderId="20" xfId="1" applyNumberFormat="1" applyFont="1" applyFill="1" applyBorder="1"/>
    <xf numFmtId="0" fontId="0" fillId="2" borderId="21" xfId="0" applyFill="1" applyBorder="1"/>
    <xf numFmtId="180" fontId="0" fillId="2" borderId="23" xfId="1" applyNumberFormat="1" applyFont="1" applyFill="1" applyBorder="1"/>
    <xf numFmtId="180" fontId="0" fillId="2" borderId="0" xfId="0" applyNumberFormat="1" applyFill="1"/>
    <xf numFmtId="9" fontId="0" fillId="2" borderId="0" xfId="0" applyNumberFormat="1" applyFill="1" applyBorder="1"/>
    <xf numFmtId="179" fontId="6" fillId="2" borderId="0" xfId="0" applyNumberFormat="1" applyFont="1" applyFill="1"/>
    <xf numFmtId="44" fontId="0" fillId="2" borderId="0" xfId="25" applyFont="1" applyFill="1"/>
    <xf numFmtId="0" fontId="0" fillId="20" borderId="0" xfId="0" applyFill="1"/>
    <xf numFmtId="0" fontId="41" fillId="2" borderId="1" xfId="0" applyFont="1" applyFill="1" applyBorder="1" applyAlignment="1">
      <alignment horizontal="center"/>
    </xf>
    <xf numFmtId="0" fontId="41" fillId="2" borderId="2" xfId="0" applyFont="1" applyFill="1" applyBorder="1" applyAlignment="1">
      <alignment horizontal="right"/>
    </xf>
    <xf numFmtId="180" fontId="41" fillId="2" borderId="3" xfId="0" applyNumberFormat="1" applyFont="1" applyFill="1" applyBorder="1"/>
    <xf numFmtId="0" fontId="41" fillId="2" borderId="4" xfId="0" applyFont="1" applyFill="1" applyBorder="1" applyAlignment="1">
      <alignment horizontal="center"/>
    </xf>
    <xf numFmtId="0" fontId="41" fillId="2" borderId="0" xfId="0" applyFont="1" applyFill="1" applyBorder="1" applyAlignment="1">
      <alignment horizontal="right"/>
    </xf>
    <xf numFmtId="180" fontId="41" fillId="2" borderId="5" xfId="0" applyNumberFormat="1" applyFont="1" applyFill="1" applyBorder="1"/>
    <xf numFmtId="0" fontId="41" fillId="2" borderId="7" xfId="0" applyFont="1" applyFill="1" applyBorder="1" applyAlignment="1">
      <alignment horizontal="right"/>
    </xf>
    <xf numFmtId="180" fontId="41" fillId="2" borderId="8" xfId="0" applyNumberFormat="1" applyFont="1" applyFill="1" applyBorder="1"/>
    <xf numFmtId="0" fontId="41" fillId="2" borderId="6" xfId="0" applyFont="1" applyFill="1" applyBorder="1" applyAlignment="1">
      <alignment horizontal="center"/>
    </xf>
    <xf numFmtId="0" fontId="42" fillId="2" borderId="1" xfId="0" applyFont="1" applyFill="1" applyBorder="1" applyAlignment="1">
      <alignment horizontal="center"/>
    </xf>
    <xf numFmtId="0" fontId="42" fillId="2" borderId="2" xfId="0" applyFont="1" applyFill="1" applyBorder="1" applyAlignment="1">
      <alignment horizontal="right"/>
    </xf>
    <xf numFmtId="180" fontId="42" fillId="2" borderId="3" xfId="0" applyNumberFormat="1" applyFont="1" applyFill="1" applyBorder="1"/>
    <xf numFmtId="0" fontId="42" fillId="2" borderId="4" xfId="0" applyFont="1" applyFill="1" applyBorder="1" applyAlignment="1">
      <alignment horizontal="center"/>
    </xf>
    <xf numFmtId="0" fontId="42" fillId="2" borderId="0" xfId="0" applyFont="1" applyFill="1" applyBorder="1" applyAlignment="1">
      <alignment horizontal="right"/>
    </xf>
    <xf numFmtId="180" fontId="42" fillId="2" borderId="5" xfId="0" applyNumberFormat="1" applyFont="1" applyFill="1" applyBorder="1"/>
    <xf numFmtId="0" fontId="42" fillId="2" borderId="7" xfId="0" applyFont="1" applyFill="1" applyBorder="1" applyAlignment="1">
      <alignment horizontal="right"/>
    </xf>
    <xf numFmtId="180" fontId="42" fillId="2" borderId="8" xfId="0" applyNumberFormat="1" applyFont="1" applyFill="1" applyBorder="1"/>
    <xf numFmtId="0" fontId="42" fillId="2" borderId="6" xfId="0" applyFont="1" applyFill="1" applyBorder="1" applyAlignment="1">
      <alignment horizontal="center"/>
    </xf>
    <xf numFmtId="180" fontId="10" fillId="2" borderId="0" xfId="18" applyNumberFormat="1" applyFill="1"/>
    <xf numFmtId="0" fontId="9" fillId="0" borderId="0" xfId="0" applyFont="1" applyAlignment="1">
      <alignment horizontal="left" vertical="center" readingOrder="1"/>
    </xf>
    <xf numFmtId="0" fontId="16" fillId="2" borderId="0" xfId="18" applyFont="1" applyFill="1"/>
    <xf numFmtId="171" fontId="10" fillId="2" borderId="0" xfId="1" applyNumberFormat="1" applyFont="1" applyFill="1"/>
    <xf numFmtId="180" fontId="6" fillId="2" borderId="0" xfId="18" applyNumberFormat="1" applyFont="1" applyFill="1"/>
    <xf numFmtId="171" fontId="6" fillId="2" borderId="0" xfId="0" applyNumberFormat="1" applyFont="1" applyFill="1"/>
    <xf numFmtId="171" fontId="6" fillId="2" borderId="0" xfId="18" applyNumberFormat="1" applyFont="1" applyFill="1"/>
    <xf numFmtId="0" fontId="9" fillId="3" borderId="0" xfId="0" applyFont="1" applyFill="1" applyAlignment="1">
      <alignment horizontal="left" vertical="center" readingOrder="1"/>
    </xf>
    <xf numFmtId="0" fontId="16" fillId="2" borderId="0" xfId="0" applyFont="1" applyFill="1"/>
    <xf numFmtId="0" fontId="10" fillId="2" borderId="0" xfId="18" applyFill="1" applyAlignment="1">
      <alignment horizontal="center"/>
    </xf>
    <xf numFmtId="10" fontId="6" fillId="2" borderId="0" xfId="1" applyNumberFormat="1" applyFont="1" applyFill="1"/>
    <xf numFmtId="10" fontId="6" fillId="2" borderId="0" xfId="18" applyNumberFormat="1" applyFont="1" applyFill="1"/>
    <xf numFmtId="0" fontId="6" fillId="0" borderId="0" xfId="0" applyFont="1" applyAlignment="1">
      <alignment horizontal="right"/>
    </xf>
    <xf numFmtId="2" fontId="6" fillId="0" borderId="0" xfId="0" applyNumberFormat="1" applyFont="1"/>
    <xf numFmtId="0" fontId="6" fillId="0" borderId="0" xfId="0" applyFont="1" applyFill="1" applyBorder="1" applyAlignment="1">
      <alignment horizontal="center"/>
    </xf>
    <xf numFmtId="170" fontId="26" fillId="0" borderId="0" xfId="0" applyNumberFormat="1" applyFont="1" applyFill="1" applyBorder="1" applyAlignment="1">
      <alignment horizontal="center"/>
    </xf>
    <xf numFmtId="164" fontId="26" fillId="0" borderId="0" xfId="0" applyNumberFormat="1" applyFont="1" applyFill="1" applyBorder="1" applyAlignment="1">
      <alignment horizontal="center"/>
    </xf>
    <xf numFmtId="0" fontId="6" fillId="3" borderId="0" xfId="0" applyFont="1" applyFill="1" applyBorder="1" applyAlignment="1">
      <alignment horizontal="right"/>
    </xf>
    <xf numFmtId="0" fontId="6" fillId="0" borderId="0" xfId="0" applyFont="1" applyFill="1"/>
    <xf numFmtId="9" fontId="0" fillId="22" borderId="0" xfId="1" applyFont="1" applyFill="1"/>
    <xf numFmtId="182" fontId="0" fillId="2" borderId="0" xfId="5" applyNumberFormat="1" applyFont="1" applyFill="1" applyAlignment="1">
      <alignment horizontal="right"/>
    </xf>
    <xf numFmtId="9" fontId="0" fillId="2" borderId="0" xfId="1" applyFont="1" applyFill="1"/>
    <xf numFmtId="0" fontId="0" fillId="0" borderId="0" xfId="0" applyFont="1" applyAlignment="1">
      <alignment horizontal="center"/>
    </xf>
    <xf numFmtId="0" fontId="0" fillId="0" borderId="0" xfId="0" applyFont="1" applyAlignment="1"/>
    <xf numFmtId="9" fontId="0" fillId="0" borderId="0" xfId="7" applyFont="1"/>
    <xf numFmtId="10" fontId="0" fillId="0" borderId="0" xfId="7" applyNumberFormat="1" applyFont="1"/>
    <xf numFmtId="167" fontId="0" fillId="2" borderId="11" xfId="5" applyNumberFormat="1" applyFont="1" applyFill="1" applyBorder="1" applyAlignment="1">
      <alignment horizontal="center"/>
    </xf>
    <xf numFmtId="2" fontId="6" fillId="2" borderId="0" xfId="0" applyNumberFormat="1" applyFont="1" applyFill="1"/>
    <xf numFmtId="0" fontId="0" fillId="3" borderId="0" xfId="0" applyFont="1" applyFill="1"/>
    <xf numFmtId="0" fontId="0" fillId="2" borderId="0" xfId="0" applyFont="1" applyFill="1"/>
    <xf numFmtId="9" fontId="0" fillId="3" borderId="0" xfId="0" applyNumberFormat="1" applyFont="1" applyFill="1"/>
    <xf numFmtId="0" fontId="0" fillId="0" borderId="0" xfId="0" applyFont="1" applyFill="1" applyAlignment="1">
      <alignment horizontal="center"/>
    </xf>
    <xf numFmtId="16" fontId="0" fillId="0" borderId="0" xfId="0" applyNumberFormat="1" applyFont="1" applyFill="1" applyAlignment="1">
      <alignment horizontal="center"/>
    </xf>
    <xf numFmtId="0" fontId="0" fillId="0" borderId="22" xfId="0" applyFont="1" applyFill="1" applyBorder="1"/>
    <xf numFmtId="0" fontId="0" fillId="0" borderId="0" xfId="0" applyFont="1"/>
    <xf numFmtId="0" fontId="0" fillId="2" borderId="0" xfId="0" applyFont="1" applyFill="1" applyAlignment="1">
      <alignment horizontal="left"/>
    </xf>
    <xf numFmtId="0" fontId="0" fillId="2" borderId="0" xfId="0" applyFont="1" applyFill="1" applyBorder="1" applyAlignment="1">
      <alignment horizontal="center"/>
    </xf>
    <xf numFmtId="2" fontId="0" fillId="2" borderId="0" xfId="0" applyNumberFormat="1" applyFont="1" applyFill="1" applyBorder="1" applyAlignment="1">
      <alignment horizontal="center"/>
    </xf>
    <xf numFmtId="0" fontId="0" fillId="6" borderId="0" xfId="0" applyFont="1" applyFill="1"/>
    <xf numFmtId="10" fontId="0" fillId="6" borderId="0" xfId="0" applyNumberFormat="1" applyFont="1" applyFill="1"/>
    <xf numFmtId="0" fontId="0" fillId="0" borderId="0" xfId="0" applyFont="1" applyAlignment="1">
      <alignment horizontal="left"/>
    </xf>
    <xf numFmtId="2" fontId="0" fillId="0" borderId="0" xfId="0" applyNumberFormat="1" applyFont="1"/>
    <xf numFmtId="164" fontId="0" fillId="0" borderId="0" xfId="0" applyNumberFormat="1" applyFont="1"/>
    <xf numFmtId="0" fontId="0" fillId="3" borderId="0" xfId="0" applyFont="1" applyFill="1" applyBorder="1" applyAlignment="1">
      <alignment horizontal="center"/>
    </xf>
    <xf numFmtId="0" fontId="0" fillId="3" borderId="0" xfId="0" applyFont="1" applyFill="1" applyBorder="1"/>
    <xf numFmtId="0" fontId="0" fillId="20" borderId="24" xfId="0" applyFont="1" applyFill="1" applyBorder="1" applyAlignment="1">
      <alignment horizontal="center"/>
    </xf>
    <xf numFmtId="0" fontId="0" fillId="0" borderId="0" xfId="0" applyFont="1" applyFill="1" applyBorder="1"/>
    <xf numFmtId="2" fontId="0" fillId="0" borderId="0" xfId="0" applyNumberFormat="1" applyFont="1" applyFill="1" applyBorder="1" applyAlignment="1">
      <alignment horizontal="center"/>
    </xf>
    <xf numFmtId="0" fontId="0" fillId="20" borderId="25" xfId="0" applyFont="1" applyFill="1" applyBorder="1" applyAlignment="1">
      <alignment horizontal="center"/>
    </xf>
    <xf numFmtId="0" fontId="0" fillId="20" borderId="26" xfId="0" applyFont="1" applyFill="1" applyBorder="1" applyAlignment="1">
      <alignment horizontal="center"/>
    </xf>
    <xf numFmtId="170" fontId="0" fillId="0" borderId="0" xfId="0" applyNumberFormat="1" applyFont="1" applyFill="1" applyBorder="1" applyAlignment="1">
      <alignment horizontal="center"/>
    </xf>
    <xf numFmtId="0" fontId="0" fillId="2" borderId="0" xfId="0" applyFont="1" applyFill="1" applyBorder="1" applyAlignment="1">
      <alignment horizontal="right"/>
    </xf>
    <xf numFmtId="0" fontId="0" fillId="2" borderId="0" xfId="0" applyFont="1" applyFill="1" applyBorder="1" applyAlignment="1"/>
    <xf numFmtId="0" fontId="0" fillId="0" borderId="0" xfId="0" applyFont="1" applyBorder="1" applyAlignment="1"/>
    <xf numFmtId="0" fontId="0" fillId="0" borderId="0" xfId="0" applyFont="1" applyBorder="1"/>
    <xf numFmtId="181" fontId="0" fillId="0" borderId="0" xfId="0" applyNumberFormat="1" applyFont="1"/>
    <xf numFmtId="0" fontId="0" fillId="6" borderId="15" xfId="0" applyFont="1" applyFill="1" applyBorder="1"/>
    <xf numFmtId="0" fontId="0" fillId="0" borderId="0" xfId="0" applyFont="1" applyFill="1" applyAlignment="1">
      <alignment horizontal="right"/>
    </xf>
    <xf numFmtId="164" fontId="0" fillId="0" borderId="0" xfId="0" applyNumberFormat="1" applyFont="1" applyFill="1" applyAlignment="1">
      <alignment horizontal="center"/>
    </xf>
    <xf numFmtId="170" fontId="0" fillId="0" borderId="0" xfId="0" applyNumberFormat="1" applyFont="1" applyFill="1" applyAlignment="1">
      <alignment horizontal="center"/>
    </xf>
    <xf numFmtId="2" fontId="0" fillId="0" borderId="0" xfId="0" applyNumberFormat="1" applyFont="1" applyFill="1" applyAlignment="1">
      <alignment horizontal="center"/>
    </xf>
    <xf numFmtId="9" fontId="0" fillId="0" borderId="0" xfId="0" applyNumberFormat="1" applyFont="1"/>
    <xf numFmtId="0" fontId="0" fillId="2" borderId="0" xfId="0" applyFont="1" applyFill="1" applyAlignment="1">
      <alignment horizontal="right"/>
    </xf>
    <xf numFmtId="0" fontId="0" fillId="21" borderId="0" xfId="0" applyFont="1" applyFill="1"/>
    <xf numFmtId="9" fontId="0" fillId="21" borderId="0" xfId="1" applyFont="1" applyFill="1"/>
    <xf numFmtId="2" fontId="0" fillId="21" borderId="0" xfId="0" applyNumberFormat="1" applyFont="1" applyFill="1"/>
    <xf numFmtId="170" fontId="0" fillId="21" borderId="0" xfId="0" applyNumberFormat="1" applyFont="1" applyFill="1"/>
    <xf numFmtId="164" fontId="0" fillId="2" borderId="0" xfId="0" applyNumberFormat="1" applyFont="1" applyFill="1"/>
    <xf numFmtId="2" fontId="0" fillId="2" borderId="0" xfId="0" applyNumberFormat="1" applyFont="1" applyFill="1"/>
    <xf numFmtId="165" fontId="0" fillId="2" borderId="0" xfId="0" applyNumberFormat="1" applyFont="1" applyFill="1"/>
    <xf numFmtId="0" fontId="0" fillId="22" borderId="0" xfId="0" applyFont="1" applyFill="1"/>
    <xf numFmtId="0" fontId="0" fillId="2" borderId="0" xfId="0" applyFont="1" applyFill="1" applyAlignment="1">
      <alignment horizontal="center"/>
    </xf>
    <xf numFmtId="182" fontId="0" fillId="2" borderId="0" xfId="0" applyNumberFormat="1" applyFont="1" applyFill="1"/>
    <xf numFmtId="165" fontId="0" fillId="0" borderId="0" xfId="0" applyNumberFormat="1" applyFont="1"/>
    <xf numFmtId="183" fontId="0" fillId="0" borderId="0" xfId="0" applyNumberFormat="1" applyFont="1"/>
    <xf numFmtId="0" fontId="0" fillId="13" borderId="0" xfId="0" applyFont="1" applyFill="1"/>
    <xf numFmtId="164" fontId="0" fillId="13" borderId="0" xfId="0" applyNumberFormat="1" applyFont="1" applyFill="1"/>
    <xf numFmtId="164" fontId="0" fillId="0" borderId="0" xfId="0" applyNumberFormat="1" applyFont="1" applyFill="1"/>
    <xf numFmtId="12" fontId="0" fillId="0" borderId="0" xfId="0" applyNumberFormat="1" applyFont="1"/>
    <xf numFmtId="0" fontId="0" fillId="6" borderId="27" xfId="0" applyFont="1" applyFill="1" applyBorder="1"/>
    <xf numFmtId="0" fontId="0" fillId="2" borderId="9" xfId="0" applyFont="1" applyFill="1" applyBorder="1"/>
    <xf numFmtId="0" fontId="0" fillId="6" borderId="27" xfId="0" applyFont="1" applyFill="1" applyBorder="1" applyAlignment="1">
      <alignment horizontal="center"/>
    </xf>
    <xf numFmtId="0" fontId="0" fillId="2" borderId="15" xfId="0" applyFont="1" applyFill="1" applyBorder="1"/>
    <xf numFmtId="0" fontId="0" fillId="2" borderId="14" xfId="0" applyFont="1" applyFill="1" applyBorder="1" applyAlignment="1">
      <alignment horizontal="center"/>
    </xf>
    <xf numFmtId="2" fontId="0" fillId="2" borderId="15" xfId="0" applyNumberFormat="1" applyFont="1" applyFill="1" applyBorder="1" applyAlignment="1">
      <alignment horizontal="center"/>
    </xf>
    <xf numFmtId="2" fontId="0" fillId="6" borderId="27" xfId="0" applyNumberFormat="1" applyFont="1" applyFill="1" applyBorder="1" applyAlignment="1">
      <alignment horizontal="center"/>
    </xf>
    <xf numFmtId="0" fontId="0" fillId="2" borderId="15" xfId="0" applyFont="1" applyFill="1" applyBorder="1" applyAlignment="1">
      <alignment horizontal="center"/>
    </xf>
    <xf numFmtId="0" fontId="0" fillId="2" borderId="22" xfId="0" applyFont="1" applyFill="1" applyBorder="1"/>
    <xf numFmtId="0" fontId="0" fillId="2" borderId="22" xfId="0" applyFont="1" applyFill="1" applyBorder="1" applyAlignment="1">
      <alignment horizontal="center"/>
    </xf>
    <xf numFmtId="2" fontId="0" fillId="2" borderId="14" xfId="0" applyNumberFormat="1" applyFont="1" applyFill="1" applyBorder="1" applyAlignment="1">
      <alignment horizontal="center"/>
    </xf>
    <xf numFmtId="0" fontId="43" fillId="0" borderId="0" xfId="15" applyFont="1" applyAlignment="1">
      <alignment horizontal="right"/>
    </xf>
    <xf numFmtId="0" fontId="44" fillId="0" borderId="0" xfId="15" applyFont="1" applyAlignment="1">
      <alignment horizontal="left"/>
    </xf>
    <xf numFmtId="0" fontId="43" fillId="0" borderId="0" xfId="15" applyFont="1" applyAlignment="1">
      <alignment horizontal="center"/>
    </xf>
    <xf numFmtId="0" fontId="43" fillId="0" borderId="0" xfId="15" applyFont="1"/>
    <xf numFmtId="0" fontId="43" fillId="4" borderId="0" xfId="15" applyFont="1" applyFill="1" applyAlignment="1">
      <alignment horizontal="center"/>
    </xf>
    <xf numFmtId="2" fontId="43" fillId="0" borderId="0" xfId="15" applyNumberFormat="1" applyFont="1" applyAlignment="1">
      <alignment horizontal="center"/>
    </xf>
    <xf numFmtId="0" fontId="43" fillId="0" borderId="0" xfId="15" applyFont="1" applyAlignment="1">
      <alignment horizontal="left"/>
    </xf>
    <xf numFmtId="165" fontId="43" fillId="0" borderId="0" xfId="15" applyNumberFormat="1" applyFont="1" applyAlignment="1">
      <alignment horizontal="center"/>
    </xf>
    <xf numFmtId="0" fontId="0" fillId="17" borderId="0" xfId="0" applyFont="1" applyFill="1"/>
    <xf numFmtId="2" fontId="0" fillId="2" borderId="0" xfId="0" applyNumberFormat="1" applyFont="1" applyFill="1" applyAlignment="1">
      <alignment horizontal="right"/>
    </xf>
    <xf numFmtId="0" fontId="0" fillId="11" borderId="0" xfId="0" applyFont="1" applyFill="1"/>
    <xf numFmtId="0" fontId="0" fillId="3" borderId="0" xfId="0" applyFont="1" applyFill="1" applyAlignment="1">
      <alignment horizontal="center"/>
    </xf>
    <xf numFmtId="0" fontId="6" fillId="0" borderId="0" xfId="0" applyFont="1" applyFill="1" applyAlignment="1">
      <alignment horizontal="center"/>
    </xf>
    <xf numFmtId="173" fontId="0" fillId="3" borderId="0" xfId="0" applyNumberFormat="1" applyFont="1" applyFill="1"/>
    <xf numFmtId="2" fontId="0" fillId="3" borderId="0" xfId="0" applyNumberFormat="1" applyFont="1" applyFill="1"/>
    <xf numFmtId="164" fontId="0" fillId="3" borderId="0" xfId="0" applyNumberFormat="1" applyFont="1" applyFill="1"/>
    <xf numFmtId="0" fontId="0" fillId="20" borderId="0" xfId="0" applyFont="1" applyFill="1"/>
    <xf numFmtId="168" fontId="0" fillId="0" borderId="0" xfId="0" applyNumberFormat="1" applyFont="1"/>
    <xf numFmtId="180" fontId="0" fillId="0" borderId="0" xfId="1" applyNumberFormat="1" applyFont="1"/>
    <xf numFmtId="0" fontId="0" fillId="20" borderId="0" xfId="0" applyFont="1" applyFill="1" applyAlignment="1">
      <alignment horizontal="center"/>
    </xf>
    <xf numFmtId="9" fontId="0" fillId="20" borderId="0" xfId="0" applyNumberFormat="1" applyFont="1" applyFill="1" applyAlignment="1">
      <alignment horizontal="center"/>
    </xf>
    <xf numFmtId="0" fontId="0" fillId="3" borderId="15" xfId="0" applyFont="1" applyFill="1" applyBorder="1" applyAlignment="1">
      <alignment horizontal="center"/>
    </xf>
    <xf numFmtId="10" fontId="0" fillId="3" borderId="15" xfId="1" applyNumberFormat="1" applyFont="1" applyFill="1" applyBorder="1" applyAlignment="1">
      <alignment horizontal="center"/>
    </xf>
    <xf numFmtId="165" fontId="0" fillId="3" borderId="15" xfId="0" applyNumberFormat="1" applyFont="1" applyFill="1" applyBorder="1" applyAlignment="1">
      <alignment horizontal="center"/>
    </xf>
    <xf numFmtId="0" fontId="0" fillId="3" borderId="0" xfId="0" applyFont="1" applyFill="1" applyAlignment="1">
      <alignment horizontal="left"/>
    </xf>
    <xf numFmtId="0" fontId="0" fillId="3" borderId="15" xfId="0" applyFont="1" applyFill="1" applyBorder="1"/>
    <xf numFmtId="170" fontId="0" fillId="3" borderId="15" xfId="0" applyNumberFormat="1" applyFont="1" applyFill="1" applyBorder="1"/>
    <xf numFmtId="2" fontId="0" fillId="3" borderId="15" xfId="0" applyNumberFormat="1" applyFont="1" applyFill="1" applyBorder="1"/>
    <xf numFmtId="0" fontId="0" fillId="20" borderId="15" xfId="0" applyFont="1" applyFill="1" applyBorder="1"/>
    <xf numFmtId="168" fontId="0" fillId="3" borderId="15" xfId="0" applyNumberFormat="1" applyFont="1" applyFill="1" applyBorder="1"/>
    <xf numFmtId="164" fontId="0" fillId="3" borderId="15" xfId="0" applyNumberFormat="1" applyFont="1" applyFill="1" applyBorder="1"/>
    <xf numFmtId="1" fontId="0" fillId="3" borderId="15" xfId="0" applyNumberFormat="1" applyFont="1" applyFill="1" applyBorder="1"/>
    <xf numFmtId="2" fontId="0" fillId="3" borderId="0" xfId="0" applyNumberFormat="1" applyFont="1" applyFill="1" applyBorder="1"/>
    <xf numFmtId="0" fontId="6" fillId="3" borderId="0" xfId="0" applyFont="1" applyFill="1" applyAlignment="1">
      <alignment horizontal="right"/>
    </xf>
    <xf numFmtId="170" fontId="6" fillId="3" borderId="15" xfId="0" applyNumberFormat="1" applyFont="1" applyFill="1" applyBorder="1"/>
    <xf numFmtId="0" fontId="44" fillId="0" borderId="0" xfId="15" applyFont="1" applyAlignment="1">
      <alignment horizontal="right"/>
    </xf>
    <xf numFmtId="2" fontId="0" fillId="6" borderId="15" xfId="0" applyNumberFormat="1" applyFont="1" applyFill="1" applyBorder="1"/>
    <xf numFmtId="2" fontId="0" fillId="2" borderId="15" xfId="0" applyNumberFormat="1" applyFont="1" applyFill="1" applyBorder="1"/>
    <xf numFmtId="0" fontId="0" fillId="11" borderId="15" xfId="0" applyFont="1" applyFill="1" applyBorder="1"/>
    <xf numFmtId="1" fontId="0" fillId="6" borderId="15" xfId="0" applyNumberFormat="1" applyFont="1" applyFill="1" applyBorder="1"/>
    <xf numFmtId="2" fontId="6" fillId="0" borderId="0" xfId="0" applyNumberFormat="1" applyFont="1" applyFill="1"/>
    <xf numFmtId="2" fontId="0" fillId="0" borderId="0" xfId="0" applyNumberFormat="1" applyFont="1" applyFill="1"/>
    <xf numFmtId="0" fontId="31" fillId="2" borderId="0" xfId="0" applyFont="1" applyFill="1"/>
    <xf numFmtId="0" fontId="27" fillId="2" borderId="15" xfId="0" applyFont="1" applyFill="1" applyBorder="1"/>
    <xf numFmtId="0" fontId="27" fillId="6" borderId="15" xfId="0" applyFont="1" applyFill="1" applyBorder="1" applyAlignment="1">
      <alignment horizontal="center"/>
    </xf>
    <xf numFmtId="164" fontId="27" fillId="2" borderId="15" xfId="0" applyNumberFormat="1" applyFont="1" applyFill="1" applyBorder="1" applyAlignment="1">
      <alignment horizontal="center"/>
    </xf>
    <xf numFmtId="165" fontId="27" fillId="2" borderId="15" xfId="0" applyNumberFormat="1" applyFont="1" applyFill="1" applyBorder="1" applyAlignment="1">
      <alignment horizontal="center"/>
    </xf>
    <xf numFmtId="0" fontId="27" fillId="2" borderId="15" xfId="0" applyFont="1" applyFill="1" applyBorder="1" applyAlignment="1">
      <alignment horizontal="center"/>
    </xf>
    <xf numFmtId="2" fontId="27" fillId="2" borderId="15" xfId="0" applyNumberFormat="1" applyFont="1" applyFill="1" applyBorder="1" applyAlignment="1">
      <alignment horizontal="center"/>
    </xf>
    <xf numFmtId="0" fontId="27" fillId="2" borderId="15" xfId="0" applyFont="1" applyFill="1" applyBorder="1" applyAlignment="1">
      <alignment horizontal="right"/>
    </xf>
    <xf numFmtId="12" fontId="27" fillId="2" borderId="15" xfId="0" applyNumberFormat="1" applyFont="1" applyFill="1" applyBorder="1" applyAlignment="1">
      <alignment horizontal="center"/>
    </xf>
    <xf numFmtId="2" fontId="27" fillId="2" borderId="15" xfId="0" applyNumberFormat="1" applyFont="1" applyFill="1" applyBorder="1"/>
    <xf numFmtId="171" fontId="27" fillId="2" borderId="15" xfId="1" applyNumberFormat="1" applyFont="1" applyFill="1" applyBorder="1" applyAlignment="1">
      <alignment horizontal="center"/>
    </xf>
    <xf numFmtId="177" fontId="27" fillId="2" borderId="15" xfId="1" applyNumberFormat="1" applyFont="1" applyFill="1" applyBorder="1" applyAlignment="1">
      <alignment horizontal="center"/>
    </xf>
    <xf numFmtId="0" fontId="45" fillId="2" borderId="0" xfId="0" applyFont="1" applyFill="1"/>
    <xf numFmtId="184" fontId="5" fillId="2" borderId="0" xfId="27" applyFill="1" applyAlignment="1">
      <alignment horizontal="center"/>
    </xf>
    <xf numFmtId="176" fontId="5" fillId="2" borderId="0" xfId="1" applyNumberFormat="1" applyFill="1" applyAlignment="1">
      <alignment horizontal="center"/>
    </xf>
    <xf numFmtId="0" fontId="27" fillId="2" borderId="0" xfId="0" applyFont="1" applyFill="1"/>
    <xf numFmtId="2" fontId="0" fillId="2" borderId="0" xfId="0" applyNumberFormat="1" applyFill="1" applyAlignment="1">
      <alignment horizontal="center"/>
    </xf>
    <xf numFmtId="10" fontId="0" fillId="2" borderId="0" xfId="1" applyNumberFormat="1" applyFont="1" applyFill="1" applyAlignment="1">
      <alignment horizontal="center"/>
    </xf>
    <xf numFmtId="0" fontId="31" fillId="2" borderId="0" xfId="0" applyFont="1" applyFill="1" applyAlignment="1">
      <alignment horizontal="left"/>
    </xf>
    <xf numFmtId="0" fontId="26" fillId="2" borderId="0" xfId="0" applyFont="1" applyFill="1" applyAlignment="1">
      <alignment horizontal="center"/>
    </xf>
    <xf numFmtId="0" fontId="0" fillId="13" borderId="0" xfId="0" applyFill="1" applyAlignment="1">
      <alignment horizontal="center"/>
    </xf>
    <xf numFmtId="20" fontId="0" fillId="2" borderId="0" xfId="0" applyNumberFormat="1" applyFill="1" applyAlignment="1">
      <alignment horizontal="right"/>
    </xf>
    <xf numFmtId="0" fontId="0" fillId="20" borderId="15" xfId="0" applyFill="1" applyBorder="1"/>
    <xf numFmtId="0" fontId="0" fillId="2" borderId="15" xfId="0" applyFill="1" applyBorder="1"/>
    <xf numFmtId="173" fontId="0" fillId="2" borderId="15" xfId="0" applyNumberFormat="1" applyFill="1" applyBorder="1"/>
    <xf numFmtId="9" fontId="0" fillId="20" borderId="0" xfId="0" applyNumberFormat="1" applyFill="1"/>
    <xf numFmtId="0" fontId="31" fillId="2" borderId="0" xfId="0" applyFont="1" applyFill="1" applyAlignment="1">
      <alignment horizontal="right"/>
    </xf>
    <xf numFmtId="182" fontId="31" fillId="2" borderId="0" xfId="26" applyNumberFormat="1" applyFont="1" applyFill="1" applyAlignment="1">
      <alignment horizontal="right"/>
    </xf>
    <xf numFmtId="164" fontId="0" fillId="2" borderId="0" xfId="0" applyNumberFormat="1" applyFill="1" applyAlignment="1">
      <alignment horizontal="right"/>
    </xf>
    <xf numFmtId="2" fontId="0" fillId="2" borderId="0" xfId="0" applyNumberFormat="1" applyFill="1" applyAlignment="1">
      <alignment horizontal="right"/>
    </xf>
    <xf numFmtId="0" fontId="6" fillId="20" borderId="0" xfId="0" applyFont="1" applyFill="1"/>
    <xf numFmtId="0" fontId="27" fillId="20" borderId="15" xfId="0" applyFont="1" applyFill="1" applyBorder="1" applyAlignment="1">
      <alignment horizontal="center"/>
    </xf>
    <xf numFmtId="165" fontId="0" fillId="2" borderId="0" xfId="0" applyNumberFormat="1" applyFill="1" applyAlignment="1">
      <alignment horizontal="center"/>
    </xf>
    <xf numFmtId="2" fontId="46" fillId="2" borderId="0" xfId="0" applyNumberFormat="1" applyFont="1" applyFill="1" applyAlignment="1">
      <alignment horizontal="center"/>
    </xf>
    <xf numFmtId="164" fontId="0" fillId="2" borderId="0" xfId="0" applyNumberFormat="1" applyFill="1" applyAlignment="1">
      <alignment horizontal="left"/>
    </xf>
    <xf numFmtId="164" fontId="0" fillId="2" borderId="0" xfId="0" applyNumberFormat="1" applyFill="1" applyAlignment="1">
      <alignment horizontal="center"/>
    </xf>
    <xf numFmtId="164" fontId="0" fillId="2" borderId="7" xfId="0" applyNumberFormat="1" applyFill="1" applyBorder="1" applyAlignment="1">
      <alignment horizontal="left"/>
    </xf>
    <xf numFmtId="10" fontId="0" fillId="2" borderId="7" xfId="1" applyNumberFormat="1" applyFont="1" applyFill="1" applyBorder="1" applyAlignment="1">
      <alignment horizontal="center"/>
    </xf>
    <xf numFmtId="164" fontId="46" fillId="2" borderId="0" xfId="0" applyNumberFormat="1" applyFont="1" applyFill="1" applyAlignment="1">
      <alignment horizontal="center"/>
    </xf>
    <xf numFmtId="167" fontId="0" fillId="2" borderId="0" xfId="5" applyNumberFormat="1" applyFont="1" applyFill="1" applyAlignment="1">
      <alignment horizontal="center"/>
    </xf>
    <xf numFmtId="171" fontId="0" fillId="2" borderId="0" xfId="1" applyNumberFormat="1" applyFont="1" applyFill="1" applyAlignment="1">
      <alignment horizontal="center"/>
    </xf>
    <xf numFmtId="167" fontId="0" fillId="2" borderId="0" xfId="5" applyFont="1" applyFill="1"/>
    <xf numFmtId="165" fontId="0" fillId="6" borderId="0" xfId="0" applyNumberFormat="1" applyFill="1" applyAlignment="1">
      <alignment horizontal="center"/>
    </xf>
    <xf numFmtId="9" fontId="0" fillId="6" borderId="0" xfId="1" applyFont="1" applyFill="1" applyAlignment="1">
      <alignment horizontal="center"/>
    </xf>
    <xf numFmtId="9" fontId="0" fillId="2" borderId="0" xfId="1" applyFont="1" applyFill="1" applyAlignment="1">
      <alignment horizontal="center"/>
    </xf>
    <xf numFmtId="165" fontId="5" fillId="0" borderId="0" xfId="28" applyNumberFormat="1" applyFont="1"/>
    <xf numFmtId="0" fontId="0" fillId="0" borderId="0" xfId="28" applyFont="1"/>
    <xf numFmtId="0" fontId="5" fillId="3" borderId="0" xfId="28" applyFont="1" applyFill="1"/>
    <xf numFmtId="0" fontId="6" fillId="3" borderId="0" xfId="28" applyFont="1" applyFill="1"/>
    <xf numFmtId="165" fontId="5" fillId="0" borderId="15" xfId="28" applyNumberFormat="1" applyFont="1" applyBorder="1"/>
    <xf numFmtId="165" fontId="16" fillId="20" borderId="15" xfId="28" applyNumberFormat="1" applyFont="1" applyFill="1" applyBorder="1"/>
    <xf numFmtId="165" fontId="26" fillId="20" borderId="15" xfId="28" applyNumberFormat="1" applyFont="1" applyFill="1" applyBorder="1"/>
    <xf numFmtId="165" fontId="5" fillId="3" borderId="0" xfId="28" applyNumberFormat="1" applyFont="1" applyFill="1"/>
    <xf numFmtId="0" fontId="0" fillId="3" borderId="0" xfId="28" applyFont="1" applyFill="1"/>
    <xf numFmtId="165" fontId="5" fillId="0" borderId="0" xfId="28" applyNumberFormat="1" applyFont="1" applyBorder="1"/>
    <xf numFmtId="165" fontId="5" fillId="3" borderId="0" xfId="28" applyNumberFormat="1" applyFont="1" applyFill="1" applyBorder="1"/>
    <xf numFmtId="165" fontId="5" fillId="3" borderId="15" xfId="28" applyNumberFormat="1" applyFont="1" applyFill="1" applyBorder="1"/>
    <xf numFmtId="0" fontId="0" fillId="0" borderId="0" xfId="0" applyFont="1" applyFill="1" applyAlignment="1">
      <alignment horizontal="left"/>
    </xf>
    <xf numFmtId="0" fontId="35" fillId="2" borderId="0" xfId="0" applyFont="1" applyFill="1" applyAlignment="1">
      <alignment horizontal="center"/>
    </xf>
    <xf numFmtId="0" fontId="35" fillId="2" borderId="0" xfId="0" applyFont="1" applyFill="1"/>
    <xf numFmtId="0" fontId="27" fillId="2" borderId="0" xfId="0" applyFont="1" applyFill="1" applyAlignment="1">
      <alignment horizontal="left"/>
    </xf>
    <xf numFmtId="0" fontId="49" fillId="2" borderId="0" xfId="0" applyFont="1" applyFill="1" applyAlignment="1">
      <alignment horizontal="right"/>
    </xf>
    <xf numFmtId="173" fontId="0" fillId="2" borderId="0" xfId="0" applyNumberFormat="1" applyFill="1"/>
    <xf numFmtId="168" fontId="0" fillId="2" borderId="0" xfId="0" applyNumberFormat="1" applyFill="1"/>
    <xf numFmtId="164" fontId="0" fillId="6" borderId="0" xfId="0" applyNumberFormat="1" applyFill="1"/>
    <xf numFmtId="0" fontId="0" fillId="22" borderId="0" xfId="0" applyFill="1"/>
    <xf numFmtId="0" fontId="0" fillId="2" borderId="7" xfId="0" applyFill="1" applyBorder="1" applyAlignment="1">
      <alignment horizontal="left"/>
    </xf>
    <xf numFmtId="0" fontId="46" fillId="2" borderId="0" xfId="0" applyFont="1" applyFill="1"/>
    <xf numFmtId="0" fontId="6" fillId="2" borderId="15" xfId="0" applyFont="1" applyFill="1" applyBorder="1" applyAlignment="1">
      <alignment horizontal="right"/>
    </xf>
    <xf numFmtId="2" fontId="0" fillId="3" borderId="0" xfId="0" applyNumberFormat="1" applyFill="1"/>
    <xf numFmtId="2" fontId="0" fillId="3" borderId="0" xfId="0" applyNumberFormat="1" applyFill="1" applyAlignment="1">
      <alignment horizontal="right"/>
    </xf>
    <xf numFmtId="12" fontId="0" fillId="2" borderId="0" xfId="26" applyNumberFormat="1" applyFont="1" applyFill="1"/>
    <xf numFmtId="0" fontId="0" fillId="15" borderId="0" xfId="0" applyFill="1"/>
    <xf numFmtId="0" fontId="0" fillId="15" borderId="0" xfId="0" applyFill="1" applyAlignment="1">
      <alignment horizontal="center"/>
    </xf>
    <xf numFmtId="0" fontId="28" fillId="2" borderId="0" xfId="0" applyFont="1" applyFill="1" applyAlignment="1">
      <alignment horizontal="center"/>
    </xf>
    <xf numFmtId="185" fontId="5" fillId="15" borderId="15" xfId="5" applyNumberFormat="1" applyFont="1" applyFill="1" applyBorder="1" applyAlignment="1">
      <alignment horizontal="center"/>
    </xf>
    <xf numFmtId="185" fontId="5" fillId="2" borderId="0" xfId="5" applyNumberFormat="1" applyFont="1" applyFill="1" applyBorder="1" applyAlignment="1">
      <alignment horizontal="center"/>
    </xf>
    <xf numFmtId="185" fontId="5" fillId="2" borderId="15" xfId="5" applyNumberFormat="1" applyFont="1" applyFill="1" applyBorder="1" applyAlignment="1">
      <alignment horizontal="center"/>
    </xf>
    <xf numFmtId="0" fontId="50" fillId="2" borderId="12" xfId="0" applyFont="1" applyFill="1" applyBorder="1"/>
    <xf numFmtId="167" fontId="5" fillId="2" borderId="15" xfId="5" applyNumberFormat="1" applyFont="1" applyFill="1" applyBorder="1" applyAlignment="1">
      <alignment horizontal="center"/>
    </xf>
    <xf numFmtId="185" fontId="0" fillId="2" borderId="0" xfId="5" applyNumberFormat="1" applyFont="1" applyFill="1" applyBorder="1" applyAlignment="1">
      <alignment horizontal="center"/>
    </xf>
    <xf numFmtId="185" fontId="0" fillId="2" borderId="15" xfId="5" applyNumberFormat="1" applyFont="1" applyFill="1" applyBorder="1" applyAlignment="1">
      <alignment horizontal="center"/>
    </xf>
    <xf numFmtId="167" fontId="0" fillId="2" borderId="15" xfId="5" applyNumberFormat="1" applyFont="1" applyFill="1" applyBorder="1" applyAlignment="1">
      <alignment horizontal="center"/>
    </xf>
    <xf numFmtId="0" fontId="51" fillId="15" borderId="13" xfId="0" applyFont="1" applyFill="1" applyBorder="1" applyAlignment="1">
      <alignment horizontal="center"/>
    </xf>
    <xf numFmtId="185" fontId="0" fillId="15" borderId="15" xfId="5" applyNumberFormat="1" applyFont="1" applyFill="1" applyBorder="1" applyAlignment="1">
      <alignment horizontal="center"/>
    </xf>
    <xf numFmtId="0" fontId="51" fillId="2" borderId="13" xfId="0" applyFont="1" applyFill="1" applyBorder="1" applyAlignment="1">
      <alignment horizontal="center"/>
    </xf>
    <xf numFmtId="0" fontId="51" fillId="2" borderId="0" xfId="0" applyFont="1" applyFill="1"/>
    <xf numFmtId="0" fontId="50" fillId="2" borderId="0" xfId="0" applyFont="1" applyFill="1" applyAlignment="1">
      <alignment horizontal="right"/>
    </xf>
    <xf numFmtId="0" fontId="51" fillId="2" borderId="0" xfId="0" applyFont="1" applyFill="1" applyBorder="1"/>
    <xf numFmtId="0" fontId="51" fillId="2" borderId="0" xfId="0" applyFont="1" applyFill="1" applyAlignment="1">
      <alignment horizontal="left"/>
    </xf>
    <xf numFmtId="0" fontId="51" fillId="2" borderId="0" xfId="0" applyFont="1" applyFill="1" applyAlignment="1">
      <alignment horizontal="right"/>
    </xf>
    <xf numFmtId="2" fontId="51" fillId="0" borderId="15" xfId="0" applyNumberFormat="1" applyFont="1" applyFill="1" applyBorder="1" applyAlignment="1">
      <alignment horizontal="center"/>
    </xf>
    <xf numFmtId="2" fontId="51" fillId="2" borderId="0" xfId="0" applyNumberFormat="1" applyFont="1" applyFill="1" applyBorder="1" applyAlignment="1">
      <alignment horizontal="center"/>
    </xf>
    <xf numFmtId="0" fontId="51" fillId="2" borderId="0" xfId="0" applyFont="1" applyFill="1" applyBorder="1" applyAlignment="1">
      <alignment horizontal="center"/>
    </xf>
    <xf numFmtId="2" fontId="51" fillId="2" borderId="0" xfId="0" applyNumberFormat="1" applyFont="1" applyFill="1" applyAlignment="1">
      <alignment horizontal="center"/>
    </xf>
    <xf numFmtId="0" fontId="51" fillId="2" borderId="0" xfId="0" applyFont="1" applyFill="1" applyAlignment="1">
      <alignment horizontal="center"/>
    </xf>
    <xf numFmtId="170" fontId="51" fillId="0" borderId="15" xfId="0" applyNumberFormat="1" applyFont="1" applyFill="1" applyBorder="1" applyAlignment="1">
      <alignment horizontal="center"/>
    </xf>
    <xf numFmtId="0" fontId="51" fillId="2" borderId="7" xfId="0" applyFont="1" applyFill="1" applyBorder="1"/>
    <xf numFmtId="2" fontId="51" fillId="2" borderId="13" xfId="0" applyNumberFormat="1" applyFont="1" applyFill="1" applyBorder="1" applyAlignment="1">
      <alignment horizontal="center"/>
    </xf>
    <xf numFmtId="2" fontId="51" fillId="2" borderId="14" xfId="0" applyNumberFormat="1" applyFont="1" applyFill="1" applyBorder="1" applyAlignment="1">
      <alignment horizontal="center"/>
    </xf>
    <xf numFmtId="0" fontId="47" fillId="2" borderId="0" xfId="29" applyFill="1"/>
    <xf numFmtId="0" fontId="0" fillId="2" borderId="17" xfId="0" applyFill="1" applyBorder="1"/>
    <xf numFmtId="0" fontId="0" fillId="2" borderId="18" xfId="0" applyFill="1" applyBorder="1"/>
    <xf numFmtId="0" fontId="0" fillId="2" borderId="20" xfId="0" applyFill="1" applyBorder="1"/>
    <xf numFmtId="0" fontId="0" fillId="6" borderId="0" xfId="0" applyFill="1" applyBorder="1" applyAlignment="1">
      <alignment horizontal="center"/>
    </xf>
    <xf numFmtId="0" fontId="0" fillId="6" borderId="19" xfId="0" applyFill="1" applyBorder="1" applyAlignment="1">
      <alignment horizontal="center"/>
    </xf>
    <xf numFmtId="0" fontId="0" fillId="2" borderId="19" xfId="0" applyFill="1" applyBorder="1" applyAlignment="1">
      <alignment horizontal="center"/>
    </xf>
    <xf numFmtId="164" fontId="0" fillId="2" borderId="0" xfId="0" applyNumberFormat="1" applyFill="1" applyBorder="1" applyAlignment="1">
      <alignment horizontal="center"/>
    </xf>
    <xf numFmtId="164" fontId="0" fillId="2" borderId="19" xfId="0" applyNumberFormat="1" applyFill="1" applyBorder="1" applyAlignment="1">
      <alignment horizontal="center"/>
    </xf>
    <xf numFmtId="164" fontId="6" fillId="2" borderId="0" xfId="0" applyNumberFormat="1" applyFont="1" applyFill="1" applyBorder="1" applyAlignment="1">
      <alignment horizontal="center"/>
    </xf>
    <xf numFmtId="164" fontId="6" fillId="2" borderId="19" xfId="0" applyNumberFormat="1" applyFont="1" applyFill="1" applyBorder="1" applyAlignment="1">
      <alignment horizontal="center"/>
    </xf>
    <xf numFmtId="0" fontId="0" fillId="2" borderId="21" xfId="0" applyFill="1" applyBorder="1" applyAlignment="1">
      <alignment horizontal="center"/>
    </xf>
    <xf numFmtId="0" fontId="0" fillId="2" borderId="22" xfId="0" applyFill="1" applyBorder="1"/>
    <xf numFmtId="0" fontId="0" fillId="2" borderId="23" xfId="0" applyFill="1" applyBorder="1"/>
    <xf numFmtId="0" fontId="5" fillId="2" borderId="16" xfId="29" applyFont="1" applyFill="1" applyBorder="1"/>
    <xf numFmtId="0" fontId="5" fillId="2" borderId="17" xfId="29" applyFont="1" applyFill="1" applyBorder="1"/>
    <xf numFmtId="0" fontId="5" fillId="2" borderId="18" xfId="29" applyFont="1" applyFill="1" applyBorder="1"/>
    <xf numFmtId="0" fontId="5" fillId="2" borderId="19" xfId="29" applyFont="1" applyFill="1" applyBorder="1"/>
    <xf numFmtId="0" fontId="5" fillId="2" borderId="0" xfId="29" applyFont="1" applyFill="1" applyBorder="1"/>
    <xf numFmtId="0" fontId="5" fillId="2" borderId="20" xfId="29" applyFont="1" applyFill="1" applyBorder="1"/>
    <xf numFmtId="0" fontId="5" fillId="6" borderId="15" xfId="29" applyFont="1" applyFill="1" applyBorder="1" applyAlignment="1">
      <alignment horizontal="center"/>
    </xf>
    <xf numFmtId="0" fontId="5" fillId="2" borderId="0" xfId="29" applyFont="1" applyFill="1" applyBorder="1" applyAlignment="1">
      <alignment horizontal="center"/>
    </xf>
    <xf numFmtId="2" fontId="6" fillId="2" borderId="20" xfId="29" applyNumberFormat="1" applyFont="1" applyFill="1" applyBorder="1" applyAlignment="1">
      <alignment horizontal="center"/>
    </xf>
    <xf numFmtId="0" fontId="5" fillId="2" borderId="20" xfId="29" applyFont="1" applyFill="1" applyBorder="1" applyAlignment="1">
      <alignment horizontal="center"/>
    </xf>
    <xf numFmtId="165" fontId="6" fillId="2" borderId="0" xfId="29" applyNumberFormat="1" applyFont="1" applyFill="1" applyBorder="1" applyAlignment="1">
      <alignment horizontal="center"/>
    </xf>
    <xf numFmtId="0" fontId="5" fillId="6" borderId="28" xfId="29" applyFont="1" applyFill="1" applyBorder="1" applyAlignment="1">
      <alignment horizontal="center"/>
    </xf>
    <xf numFmtId="0" fontId="5" fillId="2" borderId="21" xfId="29" applyFont="1" applyFill="1" applyBorder="1"/>
    <xf numFmtId="0" fontId="5" fillId="2" borderId="22" xfId="29" applyFont="1" applyFill="1" applyBorder="1"/>
    <xf numFmtId="0" fontId="5" fillId="2" borderId="23" xfId="29" applyFont="1" applyFill="1" applyBorder="1"/>
    <xf numFmtId="0" fontId="52" fillId="2" borderId="0" xfId="29" applyFont="1" applyFill="1"/>
    <xf numFmtId="0" fontId="47" fillId="0" borderId="0" xfId="29" applyFill="1"/>
    <xf numFmtId="0" fontId="47" fillId="2" borderId="0" xfId="29" applyFont="1" applyFill="1"/>
    <xf numFmtId="0" fontId="47" fillId="6" borderId="0" xfId="29" applyFont="1" applyFill="1"/>
    <xf numFmtId="0" fontId="47" fillId="6" borderId="0" xfId="29" applyFill="1"/>
    <xf numFmtId="0" fontId="47" fillId="2" borderId="0" xfId="29" applyFont="1" applyFill="1" applyAlignment="1">
      <alignment horizontal="right"/>
    </xf>
    <xf numFmtId="0" fontId="52" fillId="2" borderId="0" xfId="29" applyFont="1" applyFill="1" applyAlignment="1">
      <alignment horizontal="right"/>
    </xf>
    <xf numFmtId="2" fontId="47" fillId="2" borderId="0" xfId="29" applyNumberFormat="1" applyFill="1"/>
    <xf numFmtId="0" fontId="47" fillId="2" borderId="0" xfId="29" applyFill="1" applyAlignment="1">
      <alignment horizontal="right"/>
    </xf>
    <xf numFmtId="0" fontId="47" fillId="22" borderId="0" xfId="29" applyFill="1"/>
    <xf numFmtId="0" fontId="47" fillId="13" borderId="0" xfId="29" applyFill="1"/>
    <xf numFmtId="2" fontId="47" fillId="0" borderId="0" xfId="29" applyNumberFormat="1" applyFill="1"/>
    <xf numFmtId="0" fontId="47" fillId="2" borderId="0" xfId="29" applyFont="1" applyFill="1" applyAlignment="1">
      <alignment horizontal="left"/>
    </xf>
    <xf numFmtId="0" fontId="47" fillId="2" borderId="0" xfId="29" applyFill="1" applyAlignment="1">
      <alignment horizontal="left"/>
    </xf>
    <xf numFmtId="183" fontId="47" fillId="2" borderId="0" xfId="29" applyNumberFormat="1" applyFill="1"/>
    <xf numFmtId="0" fontId="0" fillId="2" borderId="0" xfId="0" applyFill="1" applyAlignment="1" applyProtection="1">
      <alignment horizontal="center"/>
      <protection locked="0"/>
    </xf>
    <xf numFmtId="186" fontId="0" fillId="2" borderId="0" xfId="0" applyNumberFormat="1" applyFill="1" applyAlignment="1">
      <alignment horizontal="center"/>
    </xf>
    <xf numFmtId="49" fontId="0" fillId="2" borderId="0" xfId="0" applyNumberFormat="1" applyFill="1" applyBorder="1"/>
    <xf numFmtId="0" fontId="27" fillId="2" borderId="0" xfId="29" applyFont="1" applyFill="1"/>
    <xf numFmtId="187" fontId="0" fillId="0" borderId="0" xfId="0" applyNumberFormat="1"/>
    <xf numFmtId="0" fontId="28" fillId="6" borderId="0" xfId="0" applyFont="1" applyFill="1"/>
    <xf numFmtId="0" fontId="26" fillId="2" borderId="0" xfId="0" applyFont="1" applyFill="1" applyAlignment="1">
      <alignment horizontal="right"/>
    </xf>
    <xf numFmtId="0" fontId="0" fillId="2" borderId="4" xfId="0" applyFill="1" applyBorder="1" applyAlignment="1">
      <alignment horizontal="right"/>
    </xf>
    <xf numFmtId="188" fontId="0" fillId="2" borderId="0" xfId="0" applyNumberFormat="1" applyFill="1"/>
    <xf numFmtId="0" fontId="6" fillId="2" borderId="0" xfId="0" applyFont="1" applyFill="1" applyAlignment="1">
      <alignment vertical="top"/>
    </xf>
    <xf numFmtId="0" fontId="47" fillId="3" borderId="0" xfId="29" applyFill="1"/>
    <xf numFmtId="164" fontId="0" fillId="0" borderId="0" xfId="0" applyNumberFormat="1" applyFill="1"/>
    <xf numFmtId="0" fontId="0" fillId="2" borderId="0" xfId="0" applyFill="1" applyAlignment="1">
      <alignment wrapText="1"/>
    </xf>
    <xf numFmtId="0" fontId="0" fillId="4" borderId="0" xfId="0" applyFill="1"/>
    <xf numFmtId="0" fontId="5" fillId="0" borderId="0" xfId="30" applyFont="1"/>
    <xf numFmtId="0" fontId="5" fillId="0" borderId="29" xfId="30" applyFont="1" applyBorder="1" applyAlignment="1">
      <alignment horizontal="center"/>
    </xf>
    <xf numFmtId="0" fontId="5" fillId="16" borderId="0" xfId="30" applyFont="1" applyFill="1"/>
    <xf numFmtId="2" fontId="5" fillId="0" borderId="0" xfId="30" applyNumberFormat="1" applyFont="1"/>
    <xf numFmtId="165" fontId="5" fillId="0" borderId="0" xfId="30" applyNumberFormat="1" applyFont="1"/>
    <xf numFmtId="0" fontId="5" fillId="1" borderId="0" xfId="30" applyFont="1" applyFill="1" applyBorder="1"/>
    <xf numFmtId="2" fontId="5" fillId="0" borderId="0" xfId="30" applyNumberFormat="1" applyFont="1" applyBorder="1"/>
    <xf numFmtId="0" fontId="5" fillId="0" borderId="30" xfId="30" applyFont="1" applyFill="1" applyBorder="1"/>
    <xf numFmtId="0" fontId="5" fillId="23" borderId="31" xfId="30" applyFont="1" applyFill="1" applyBorder="1"/>
    <xf numFmtId="0" fontId="54" fillId="0" borderId="0" xfId="30" applyFont="1" applyBorder="1"/>
    <xf numFmtId="165" fontId="5" fillId="1" borderId="0" xfId="30" applyNumberFormat="1" applyFont="1" applyFill="1" applyBorder="1"/>
    <xf numFmtId="0" fontId="5" fillId="0" borderId="0" xfId="30" applyFont="1" applyBorder="1"/>
    <xf numFmtId="0" fontId="0" fillId="2" borderId="0" xfId="0" applyFill="1" applyAlignment="1"/>
    <xf numFmtId="0" fontId="0" fillId="2" borderId="16" xfId="0" applyFill="1" applyBorder="1" applyAlignment="1"/>
    <xf numFmtId="0" fontId="0" fillId="2" borderId="17" xfId="0" applyFill="1" applyBorder="1" applyAlignment="1">
      <alignment horizontal="center"/>
    </xf>
    <xf numFmtId="0" fontId="0" fillId="2" borderId="19" xfId="0" applyFill="1" applyBorder="1" applyAlignment="1"/>
    <xf numFmtId="165" fontId="0" fillId="2" borderId="0" xfId="0" applyNumberFormat="1" applyFill="1" applyBorder="1" applyAlignment="1">
      <alignment horizontal="center"/>
    </xf>
    <xf numFmtId="183" fontId="0" fillId="2" borderId="0" xfId="0" applyNumberFormat="1" applyFill="1" applyBorder="1" applyAlignment="1">
      <alignment horizontal="center"/>
    </xf>
    <xf numFmtId="2" fontId="0" fillId="2" borderId="0" xfId="0" applyNumberFormat="1" applyFill="1" applyBorder="1" applyAlignment="1">
      <alignment horizontal="center"/>
    </xf>
    <xf numFmtId="189" fontId="0" fillId="2" borderId="0" xfId="0" applyNumberFormat="1" applyFill="1" applyAlignment="1">
      <alignment horizontal="center"/>
    </xf>
    <xf numFmtId="0" fontId="0" fillId="2" borderId="21" xfId="0" applyFill="1" applyBorder="1" applyAlignment="1"/>
    <xf numFmtId="0" fontId="0" fillId="2" borderId="22" xfId="0" applyFill="1" applyBorder="1" applyAlignment="1">
      <alignment horizontal="center"/>
    </xf>
    <xf numFmtId="0" fontId="6" fillId="14" borderId="0" xfId="0" applyFont="1" applyFill="1" applyAlignment="1">
      <alignment horizontal="center" vertical="center" wrapText="1"/>
    </xf>
    <xf numFmtId="4" fontId="0" fillId="2" borderId="0" xfId="0" applyNumberFormat="1" applyFill="1"/>
    <xf numFmtId="0" fontId="56" fillId="0" borderId="0" xfId="31" applyAlignment="1" applyProtection="1">
      <alignment wrapText="1"/>
    </xf>
    <xf numFmtId="0" fontId="0" fillId="0" borderId="0" xfId="0" applyAlignment="1">
      <alignment horizontal="left" wrapText="1"/>
    </xf>
    <xf numFmtId="189" fontId="0" fillId="2" borderId="0" xfId="0" applyNumberFormat="1" applyFill="1"/>
    <xf numFmtId="174" fontId="0" fillId="2" borderId="0" xfId="0" applyNumberFormat="1" applyFill="1"/>
    <xf numFmtId="0" fontId="0" fillId="0" borderId="0" xfId="0" applyAlignment="1">
      <alignment wrapText="1"/>
    </xf>
    <xf numFmtId="173" fontId="0" fillId="6" borderId="15" xfId="0" applyNumberFormat="1" applyFill="1" applyBorder="1"/>
    <xf numFmtId="2" fontId="0" fillId="6" borderId="15" xfId="0" applyNumberFormat="1" applyFill="1" applyBorder="1"/>
    <xf numFmtId="1" fontId="0" fillId="6" borderId="15" xfId="0" applyNumberFormat="1" applyFill="1" applyBorder="1" applyAlignment="1">
      <alignment horizontal="right"/>
    </xf>
    <xf numFmtId="0" fontId="30" fillId="0" borderId="0" xfId="0" applyFont="1"/>
    <xf numFmtId="0" fontId="57" fillId="0" borderId="0" xfId="0" applyFont="1"/>
    <xf numFmtId="4" fontId="0" fillId="2" borderId="0" xfId="0" applyNumberFormat="1" applyFill="1" applyAlignment="1">
      <alignment horizontal="center"/>
    </xf>
    <xf numFmtId="0" fontId="6" fillId="14" borderId="0" xfId="0" applyFont="1" applyFill="1" applyAlignment="1">
      <alignment vertical="center" wrapText="1"/>
    </xf>
    <xf numFmtId="0" fontId="58" fillId="2" borderId="0" xfId="0" applyFont="1" applyFill="1"/>
    <xf numFmtId="0" fontId="30" fillId="3" borderId="0" xfId="0" applyFont="1" applyFill="1"/>
    <xf numFmtId="0" fontId="57" fillId="3" borderId="0" xfId="0" applyFont="1" applyFill="1"/>
    <xf numFmtId="2" fontId="0" fillId="13" borderId="0" xfId="0" applyNumberFormat="1" applyFill="1"/>
    <xf numFmtId="0" fontId="6" fillId="3" borderId="0" xfId="0" applyFont="1" applyFill="1" applyAlignment="1"/>
    <xf numFmtId="0" fontId="16" fillId="3" borderId="0" xfId="0" applyFont="1" applyFill="1"/>
    <xf numFmtId="0" fontId="60" fillId="2" borderId="0" xfId="32" applyFill="1"/>
    <xf numFmtId="0" fontId="60" fillId="2" borderId="0" xfId="32" applyFill="1" applyAlignment="1">
      <alignment horizontal="right"/>
    </xf>
    <xf numFmtId="0" fontId="60" fillId="19" borderId="0" xfId="32" applyFill="1"/>
    <xf numFmtId="0" fontId="6" fillId="2" borderId="0" xfId="32" applyFont="1" applyFill="1" applyAlignment="1">
      <alignment horizontal="right"/>
    </xf>
    <xf numFmtId="0" fontId="6" fillId="2" borderId="0" xfId="32" applyFont="1" applyFill="1"/>
    <xf numFmtId="0" fontId="60" fillId="2" borderId="0" xfId="32" applyFill="1" applyAlignment="1">
      <alignment horizontal="center"/>
    </xf>
    <xf numFmtId="2" fontId="60" fillId="19" borderId="0" xfId="32" applyNumberFormat="1" applyFill="1"/>
    <xf numFmtId="165" fontId="60" fillId="2" borderId="0" xfId="32" applyNumberFormat="1" applyFill="1"/>
    <xf numFmtId="0" fontId="60" fillId="14" borderId="0" xfId="32" applyFill="1"/>
    <xf numFmtId="2" fontId="60" fillId="14" borderId="0" xfId="32" applyNumberFormat="1" applyFill="1"/>
    <xf numFmtId="2" fontId="60" fillId="2" borderId="0" xfId="32" applyNumberFormat="1" applyFill="1"/>
    <xf numFmtId="0" fontId="60" fillId="0" borderId="0" xfId="32" applyFill="1" applyBorder="1"/>
    <xf numFmtId="0" fontId="60" fillId="0" borderId="0" xfId="32" applyFill="1" applyBorder="1" applyAlignment="1">
      <alignment horizontal="right"/>
    </xf>
    <xf numFmtId="0" fontId="60" fillId="6" borderId="0" xfId="32" applyFill="1" applyBorder="1"/>
    <xf numFmtId="0" fontId="60" fillId="0" borderId="0" xfId="32" applyAlignment="1">
      <alignment horizontal="right"/>
    </xf>
    <xf numFmtId="0" fontId="60" fillId="0" borderId="0" xfId="32"/>
    <xf numFmtId="0" fontId="6" fillId="0" borderId="0" xfId="32" applyFont="1" applyAlignment="1">
      <alignment horizontal="left"/>
    </xf>
    <xf numFmtId="0" fontId="6" fillId="0" borderId="0" xfId="32" applyFont="1" applyAlignment="1">
      <alignment horizontal="right"/>
    </xf>
    <xf numFmtId="0" fontId="6" fillId="0" borderId="0" xfId="32" applyFont="1"/>
    <xf numFmtId="0" fontId="14" fillId="0" borderId="0" xfId="32" applyFont="1" applyAlignment="1">
      <alignment horizontal="left"/>
    </xf>
    <xf numFmtId="0" fontId="6" fillId="3" borderId="0" xfId="32" applyFont="1" applyFill="1" applyAlignment="1">
      <alignment horizontal="left"/>
    </xf>
    <xf numFmtId="2" fontId="6" fillId="0" borderId="0" xfId="32" applyNumberFormat="1" applyFont="1"/>
    <xf numFmtId="0" fontId="0" fillId="0" borderId="0" xfId="32" applyFont="1" applyAlignment="1">
      <alignment horizontal="right"/>
    </xf>
    <xf numFmtId="0" fontId="60" fillId="3" borderId="0" xfId="32" applyFill="1"/>
    <xf numFmtId="0" fontId="0" fillId="4" borderId="15" xfId="0" applyFill="1" applyBorder="1"/>
    <xf numFmtId="0" fontId="5" fillId="3" borderId="0" xfId="0" applyFont="1" applyFill="1" applyAlignment="1">
      <alignment horizontal="left"/>
    </xf>
    <xf numFmtId="0" fontId="5" fillId="3" borderId="12" xfId="0" applyFont="1" applyFill="1" applyBorder="1" applyAlignment="1">
      <alignment horizontal="center"/>
    </xf>
    <xf numFmtId="0" fontId="0" fillId="3" borderId="12"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28" fillId="3" borderId="12" xfId="0" applyFont="1" applyFill="1" applyBorder="1" applyAlignment="1">
      <alignment horizontal="center"/>
    </xf>
    <xf numFmtId="0" fontId="5" fillId="2" borderId="13" xfId="0" applyFont="1" applyFill="1" applyBorder="1" applyAlignment="1">
      <alignment horizontal="center"/>
    </xf>
    <xf numFmtId="0" fontId="0" fillId="2" borderId="5" xfId="0" applyFill="1" applyBorder="1" applyAlignment="1">
      <alignment horizontal="center"/>
    </xf>
    <xf numFmtId="0" fontId="0" fillId="2" borderId="1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left"/>
    </xf>
    <xf numFmtId="0" fontId="5" fillId="2" borderId="4" xfId="0" applyFont="1" applyFill="1" applyBorder="1" applyAlignment="1">
      <alignment horizontal="center"/>
    </xf>
    <xf numFmtId="0" fontId="5" fillId="2" borderId="5" xfId="0" applyFont="1" applyFill="1" applyBorder="1" applyAlignment="1">
      <alignment horizontal="left"/>
    </xf>
    <xf numFmtId="0" fontId="5" fillId="3" borderId="13" xfId="0" applyFont="1" applyFill="1" applyBorder="1" applyAlignment="1">
      <alignment horizontal="center"/>
    </xf>
    <xf numFmtId="0" fontId="0" fillId="3" borderId="4"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0" fillId="3" borderId="14" xfId="0" applyFill="1" applyBorder="1" applyAlignment="1">
      <alignment horizontal="center"/>
    </xf>
    <xf numFmtId="0" fontId="0" fillId="2" borderId="8" xfId="0" applyFill="1" applyBorder="1" applyAlignment="1">
      <alignment horizontal="center"/>
    </xf>
    <xf numFmtId="0" fontId="0" fillId="2" borderId="14" xfId="0" applyFill="1" applyBorder="1" applyAlignment="1">
      <alignment horizontal="center"/>
    </xf>
    <xf numFmtId="0" fontId="5" fillId="2" borderId="5" xfId="0" applyFont="1" applyFill="1" applyBorder="1" applyAlignment="1">
      <alignment horizontal="center"/>
    </xf>
    <xf numFmtId="0" fontId="5" fillId="3" borderId="14" xfId="0" applyFont="1" applyFill="1" applyBorder="1" applyAlignment="1">
      <alignment horizontal="center"/>
    </xf>
    <xf numFmtId="3" fontId="0" fillId="6" borderId="14" xfId="0" applyNumberFormat="1" applyFill="1" applyBorder="1" applyAlignment="1">
      <alignment horizontal="center"/>
    </xf>
    <xf numFmtId="3" fontId="0" fillId="6" borderId="6" xfId="0" applyNumberFormat="1" applyFill="1" applyBorder="1" applyAlignment="1">
      <alignment horizontal="center"/>
    </xf>
    <xf numFmtId="4" fontId="0" fillId="3" borderId="9" xfId="0" applyNumberFormat="1" applyFill="1" applyBorder="1" applyAlignment="1">
      <alignment horizontal="center"/>
    </xf>
    <xf numFmtId="0" fontId="61" fillId="2" borderId="3" xfId="0" applyFont="1" applyFill="1" applyBorder="1" applyAlignment="1">
      <alignment horizontal="center"/>
    </xf>
    <xf numFmtId="165" fontId="61" fillId="2" borderId="3" xfId="0" applyNumberFormat="1" applyFont="1" applyFill="1" applyBorder="1" applyAlignment="1">
      <alignment horizontal="center"/>
    </xf>
    <xf numFmtId="2" fontId="0" fillId="2" borderId="7" xfId="0" applyNumberFormat="1" applyFill="1" applyBorder="1" applyAlignment="1">
      <alignment horizontal="center"/>
    </xf>
    <xf numFmtId="49" fontId="0" fillId="2" borderId="9" xfId="5" applyNumberFormat="1" applyFont="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2" fontId="0" fillId="2" borderId="8" xfId="0" applyNumberFormat="1" applyFill="1" applyBorder="1" applyAlignment="1">
      <alignment horizontal="center"/>
    </xf>
    <xf numFmtId="0" fontId="0" fillId="0" borderId="15" xfId="0" applyBorder="1" applyAlignment="1">
      <alignment horizontal="center"/>
    </xf>
    <xf numFmtId="3" fontId="0" fillId="6" borderId="9" xfId="0" applyNumberFormat="1" applyFill="1" applyBorder="1" applyAlignment="1">
      <alignment horizontal="center"/>
    </xf>
    <xf numFmtId="0" fontId="61" fillId="2" borderId="5" xfId="0" applyFont="1" applyFill="1" applyBorder="1" applyAlignment="1">
      <alignment horizontal="center"/>
    </xf>
    <xf numFmtId="165" fontId="61" fillId="2" borderId="5" xfId="0" applyNumberFormat="1" applyFont="1" applyFill="1" applyBorder="1" applyAlignment="1">
      <alignment horizontal="center"/>
    </xf>
    <xf numFmtId="49" fontId="0" fillId="2" borderId="6" xfId="5" applyNumberFormat="1" applyFont="1" applyFill="1" applyBorder="1" applyAlignment="1">
      <alignment horizontal="center"/>
    </xf>
    <xf numFmtId="2" fontId="0" fillId="2" borderId="14" xfId="0" applyNumberFormat="1" applyFill="1" applyBorder="1" applyAlignment="1">
      <alignment horizontal="center"/>
    </xf>
    <xf numFmtId="0" fontId="61" fillId="2" borderId="8" xfId="0" applyFont="1" applyFill="1" applyBorder="1" applyAlignment="1">
      <alignment horizontal="center"/>
    </xf>
    <xf numFmtId="165" fontId="61" fillId="2" borderId="8" xfId="0" applyNumberFormat="1" applyFont="1" applyFill="1" applyBorder="1" applyAlignment="1">
      <alignment horizontal="center"/>
    </xf>
    <xf numFmtId="0" fontId="0" fillId="24" borderId="0" xfId="0" applyFill="1" applyAlignment="1">
      <alignment horizontal="center"/>
    </xf>
    <xf numFmtId="0" fontId="0" fillId="2" borderId="6" xfId="0" applyFill="1" applyBorder="1" applyAlignment="1">
      <alignment horizontal="center"/>
    </xf>
    <xf numFmtId="0" fontId="5" fillId="2" borderId="6" xfId="0" applyFont="1" applyFill="1" applyBorder="1" applyAlignment="1">
      <alignment horizontal="center"/>
    </xf>
    <xf numFmtId="0" fontId="5" fillId="2" borderId="8" xfId="0" applyFont="1" applyFill="1" applyBorder="1" applyAlignment="1">
      <alignment horizontal="center"/>
    </xf>
    <xf numFmtId="0" fontId="0" fillId="6" borderId="14" xfId="0" applyFill="1" applyBorder="1" applyAlignment="1">
      <alignment horizontal="center"/>
    </xf>
    <xf numFmtId="170" fontId="0" fillId="6" borderId="14" xfId="0" applyNumberFormat="1" applyFill="1" applyBorder="1" applyAlignment="1">
      <alignment horizontal="center"/>
    </xf>
    <xf numFmtId="2" fontId="0" fillId="6" borderId="14" xfId="0" applyNumberFormat="1" applyFill="1" applyBorder="1" applyAlignment="1">
      <alignment horizontal="center"/>
    </xf>
    <xf numFmtId="2" fontId="0" fillId="3" borderId="6" xfId="0" applyNumberFormat="1" applyFill="1" applyBorder="1" applyAlignment="1">
      <alignment horizontal="center"/>
    </xf>
    <xf numFmtId="12" fontId="0" fillId="2" borderId="8" xfId="0" applyNumberFormat="1" applyFill="1" applyBorder="1" applyAlignment="1">
      <alignment horizontal="center"/>
    </xf>
    <xf numFmtId="0" fontId="0" fillId="3" borderId="6" xfId="0" applyFill="1" applyBorder="1" applyAlignment="1">
      <alignment horizontal="center"/>
    </xf>
    <xf numFmtId="0" fontId="0" fillId="2" borderId="9" xfId="0" applyFill="1" applyBorder="1" applyAlignment="1">
      <alignment horizontal="center"/>
    </xf>
    <xf numFmtId="0" fontId="54" fillId="0" borderId="0" xfId="0" applyFont="1" applyAlignment="1">
      <alignment horizontal="center"/>
    </xf>
    <xf numFmtId="2" fontId="5" fillId="0" borderId="0" xfId="0" applyNumberFormat="1" applyFont="1" applyAlignment="1">
      <alignment horizontal="center"/>
    </xf>
    <xf numFmtId="0" fontId="54" fillId="2" borderId="0" xfId="0" applyFont="1" applyFill="1" applyAlignment="1">
      <alignment horizontal="center"/>
    </xf>
    <xf numFmtId="0" fontId="5" fillId="0" borderId="0" xfId="0" applyFont="1" applyAlignment="1">
      <alignment horizontal="center"/>
    </xf>
    <xf numFmtId="2" fontId="0" fillId="0" borderId="0" xfId="0" applyNumberFormat="1" applyAlignment="1">
      <alignment horizontal="center"/>
    </xf>
    <xf numFmtId="0" fontId="0" fillId="6" borderId="0" xfId="0" applyFill="1" applyAlignment="1">
      <alignment horizontal="right"/>
    </xf>
    <xf numFmtId="2" fontId="0" fillId="0" borderId="0" xfId="0" applyNumberFormat="1" applyAlignment="1">
      <alignment horizontal="left"/>
    </xf>
    <xf numFmtId="164" fontId="0" fillId="6" borderId="0" xfId="0" applyNumberFormat="1" applyFill="1" applyAlignment="1">
      <alignment horizontal="center"/>
    </xf>
    <xf numFmtId="164" fontId="0" fillId="0" borderId="0" xfId="0" applyNumberFormat="1" applyFill="1" applyAlignment="1">
      <alignment horizontal="center"/>
    </xf>
    <xf numFmtId="2" fontId="0" fillId="16" borderId="0" xfId="0" applyNumberFormat="1" applyFill="1" applyAlignment="1">
      <alignment horizontal="center"/>
    </xf>
    <xf numFmtId="1" fontId="0" fillId="0" borderId="0" xfId="0" applyNumberFormat="1" applyAlignment="1">
      <alignment horizontal="center"/>
    </xf>
    <xf numFmtId="2" fontId="0" fillId="2" borderId="0" xfId="0" applyNumberFormat="1" applyFill="1" applyAlignment="1">
      <alignment horizontal="left"/>
    </xf>
    <xf numFmtId="0" fontId="0" fillId="16" borderId="0" xfId="0" applyFill="1" applyAlignment="1">
      <alignment horizontal="center"/>
    </xf>
    <xf numFmtId="2" fontId="0" fillId="13" borderId="0" xfId="0" applyNumberFormat="1" applyFill="1" applyAlignment="1">
      <alignment horizontal="center"/>
    </xf>
    <xf numFmtId="173" fontId="0" fillId="0" borderId="0" xfId="0" applyNumberFormat="1" applyFill="1" applyAlignment="1">
      <alignment horizontal="center"/>
    </xf>
    <xf numFmtId="170" fontId="0" fillId="0" borderId="0" xfId="0" applyNumberFormat="1" applyAlignment="1">
      <alignment horizontal="center"/>
    </xf>
    <xf numFmtId="2" fontId="0" fillId="2" borderId="0" xfId="0" applyNumberFormat="1" applyFill="1" applyBorder="1"/>
    <xf numFmtId="165" fontId="0" fillId="2" borderId="0" xfId="0" applyNumberFormat="1" applyFill="1" applyBorder="1"/>
    <xf numFmtId="168" fontId="5" fillId="0" borderId="0" xfId="5" applyNumberFormat="1"/>
    <xf numFmtId="190" fontId="0" fillId="2" borderId="0" xfId="0" applyNumberFormat="1" applyFill="1" applyBorder="1"/>
    <xf numFmtId="191" fontId="0" fillId="2" borderId="0" xfId="0" applyNumberFormat="1" applyFill="1" applyBorder="1"/>
    <xf numFmtId="173" fontId="0" fillId="2" borderId="0" xfId="0" applyNumberFormat="1" applyFill="1" applyBorder="1"/>
    <xf numFmtId="168" fontId="0" fillId="0" borderId="0" xfId="0" applyNumberFormat="1" applyFill="1"/>
    <xf numFmtId="0" fontId="0" fillId="0" borderId="0" xfId="0" applyAlignment="1">
      <alignment horizontal="center" vertical="center"/>
    </xf>
    <xf numFmtId="2" fontId="0" fillId="25" borderId="0" xfId="0" applyNumberFormat="1" applyFill="1" applyAlignment="1">
      <alignment horizontal="center" vertical="center"/>
    </xf>
    <xf numFmtId="170" fontId="0" fillId="0" borderId="0" xfId="0" applyNumberFormat="1" applyAlignment="1">
      <alignment horizontal="center" vertical="center"/>
    </xf>
    <xf numFmtId="0" fontId="0" fillId="25" borderId="0" xfId="0" applyFill="1" applyAlignment="1">
      <alignment horizontal="center"/>
    </xf>
    <xf numFmtId="0" fontId="0" fillId="3" borderId="0" xfId="0" applyFill="1" applyAlignment="1">
      <alignment horizontal="center" vertical="center"/>
    </xf>
    <xf numFmtId="2" fontId="0" fillId="0" borderId="0" xfId="0" applyNumberFormat="1" applyFont="1" applyAlignment="1">
      <alignment horizontal="center"/>
    </xf>
    <xf numFmtId="0" fontId="0" fillId="0" borderId="22" xfId="0" applyBorder="1" applyAlignment="1">
      <alignment horizontal="center"/>
    </xf>
    <xf numFmtId="2" fontId="0" fillId="0" borderId="0" xfId="0" applyNumberFormat="1" applyFill="1" applyAlignment="1">
      <alignment horizontal="center"/>
    </xf>
    <xf numFmtId="2" fontId="0" fillId="3" borderId="0" xfId="0" applyNumberFormat="1" applyFill="1" applyAlignment="1">
      <alignment horizontal="center"/>
    </xf>
    <xf numFmtId="2" fontId="6" fillId="3" borderId="0" xfId="0" applyNumberFormat="1" applyFont="1" applyFill="1" applyAlignment="1">
      <alignment horizontal="center"/>
    </xf>
    <xf numFmtId="2" fontId="6" fillId="3" borderId="0" xfId="0" applyNumberFormat="1" applyFont="1" applyFill="1"/>
    <xf numFmtId="0" fontId="58" fillId="0" borderId="0" xfId="0" applyFont="1"/>
    <xf numFmtId="0" fontId="62" fillId="0" borderId="0" xfId="0" applyFont="1"/>
    <xf numFmtId="0" fontId="63" fillId="0" borderId="0" xfId="0" applyFont="1"/>
    <xf numFmtId="0" fontId="63" fillId="0" borderId="0" xfId="0" applyFont="1" applyAlignment="1">
      <alignment horizontal="right"/>
    </xf>
    <xf numFmtId="164" fontId="6" fillId="0" borderId="0" xfId="0" applyNumberFormat="1" applyFont="1"/>
    <xf numFmtId="0" fontId="46" fillId="2" borderId="0" xfId="0" applyFont="1" applyFill="1" applyAlignment="1">
      <alignment horizontal="right"/>
    </xf>
    <xf numFmtId="0" fontId="64" fillId="2" borderId="0" xfId="0" applyFont="1" applyFill="1" applyAlignment="1">
      <alignment horizontal="right"/>
    </xf>
    <xf numFmtId="165" fontId="0" fillId="2" borderId="7" xfId="0" applyNumberFormat="1" applyFill="1" applyBorder="1"/>
    <xf numFmtId="164" fontId="0" fillId="2" borderId="7" xfId="0" applyNumberFormat="1" applyFill="1" applyBorder="1"/>
    <xf numFmtId="0" fontId="65" fillId="0" borderId="0" xfId="0" applyFont="1" applyAlignment="1">
      <alignment horizontal="left" vertical="center"/>
    </xf>
    <xf numFmtId="0" fontId="65" fillId="2" borderId="0" xfId="0" applyFont="1" applyFill="1"/>
    <xf numFmtId="0" fontId="0" fillId="2" borderId="0" xfId="0" applyFill="1" applyBorder="1" applyAlignment="1">
      <alignment horizontal="left" wrapText="1"/>
    </xf>
    <xf numFmtId="0" fontId="0" fillId="2" borderId="0" xfId="0" applyFill="1" applyBorder="1" applyAlignment="1">
      <alignment wrapText="1"/>
    </xf>
    <xf numFmtId="0" fontId="34" fillId="2" borderId="0" xfId="0" applyFont="1" applyFill="1"/>
    <xf numFmtId="0" fontId="34" fillId="2" borderId="0" xfId="0" applyFont="1" applyFill="1" applyAlignment="1">
      <alignment horizontal="right"/>
    </xf>
    <xf numFmtId="0" fontId="34" fillId="2" borderId="0" xfId="0" applyFont="1" applyFill="1" applyAlignment="1">
      <alignment horizontal="center"/>
    </xf>
    <xf numFmtId="0" fontId="5" fillId="2" borderId="0" xfId="0" applyNumberFormat="1" applyFont="1" applyFill="1"/>
    <xf numFmtId="176" fontId="0" fillId="2" borderId="0" xfId="1" applyNumberFormat="1" applyFont="1" applyFill="1"/>
    <xf numFmtId="0" fontId="0" fillId="6" borderId="0" xfId="0" applyFill="1" applyAlignment="1">
      <alignment horizontal="center"/>
    </xf>
    <xf numFmtId="0" fontId="0" fillId="0" borderId="0" xfId="0" applyNumberFormat="1" applyAlignment="1">
      <alignment horizontal="center"/>
    </xf>
    <xf numFmtId="9" fontId="5" fillId="0" borderId="0" xfId="1" applyAlignment="1">
      <alignment horizontal="center"/>
    </xf>
    <xf numFmtId="0" fontId="66" fillId="0" borderId="0" xfId="0" applyFont="1"/>
    <xf numFmtId="0" fontId="49" fillId="2" borderId="0" xfId="0" applyFont="1" applyFill="1"/>
    <xf numFmtId="0" fontId="0" fillId="18" borderId="0" xfId="0" applyFill="1"/>
    <xf numFmtId="0" fontId="69" fillId="0" borderId="0" xfId="0" applyFont="1"/>
    <xf numFmtId="0" fontId="26" fillId="13" borderId="0" xfId="0" applyFont="1" applyFill="1" applyAlignment="1">
      <alignment horizontal="center"/>
    </xf>
    <xf numFmtId="0" fontId="0" fillId="0" borderId="0" xfId="0" applyFill="1" applyAlignment="1">
      <alignment horizontal="center"/>
    </xf>
    <xf numFmtId="165" fontId="0" fillId="0" borderId="0" xfId="0" applyNumberFormat="1" applyFill="1" applyAlignment="1">
      <alignment horizontal="center"/>
    </xf>
    <xf numFmtId="10" fontId="5" fillId="0" borderId="0" xfId="1" applyNumberFormat="1" applyFill="1" applyAlignment="1">
      <alignment horizontal="center"/>
    </xf>
    <xf numFmtId="43" fontId="0" fillId="0" borderId="0" xfId="26" applyFont="1" applyFill="1" applyAlignment="1">
      <alignment horizontal="center"/>
    </xf>
    <xf numFmtId="43" fontId="0" fillId="0" borderId="0" xfId="26" applyFont="1" applyAlignment="1">
      <alignment horizontal="center"/>
    </xf>
    <xf numFmtId="43" fontId="5" fillId="0" borderId="0" xfId="26" applyAlignment="1">
      <alignment horizontal="center"/>
    </xf>
    <xf numFmtId="0" fontId="60" fillId="4" borderId="0" xfId="32" applyFill="1"/>
    <xf numFmtId="164" fontId="60" fillId="0" borderId="0" xfId="32" applyNumberFormat="1"/>
    <xf numFmtId="165" fontId="60" fillId="0" borderId="0" xfId="32" applyNumberFormat="1"/>
    <xf numFmtId="168" fontId="60" fillId="4" borderId="0" xfId="32" applyNumberFormat="1" applyFill="1"/>
    <xf numFmtId="0" fontId="60" fillId="0" borderId="0" xfId="32" applyAlignment="1">
      <alignment horizontal="center"/>
    </xf>
    <xf numFmtId="0" fontId="60" fillId="9" borderId="0" xfId="32" applyFill="1"/>
    <xf numFmtId="0" fontId="60" fillId="0" borderId="0" xfId="32" applyAlignment="1">
      <alignment horizontal="left"/>
    </xf>
    <xf numFmtId="0" fontId="60" fillId="3" borderId="0" xfId="32" applyFill="1" applyAlignment="1">
      <alignment horizontal="right"/>
    </xf>
    <xf numFmtId="0" fontId="60" fillId="8" borderId="0" xfId="32" applyFill="1"/>
    <xf numFmtId="2" fontId="60" fillId="0" borderId="0" xfId="32" applyNumberFormat="1"/>
    <xf numFmtId="0" fontId="6" fillId="2" borderId="32" xfId="0" applyFont="1" applyFill="1" applyBorder="1" applyAlignment="1">
      <alignment horizontal="center"/>
    </xf>
    <xf numFmtId="0" fontId="6" fillId="2" borderId="33" xfId="0" applyFont="1" applyFill="1" applyBorder="1" applyAlignment="1">
      <alignment horizontal="center"/>
    </xf>
    <xf numFmtId="0" fontId="6" fillId="2" borderId="27" xfId="0" applyFont="1" applyFill="1" applyBorder="1" applyAlignment="1">
      <alignment horizontal="center"/>
    </xf>
    <xf numFmtId="0" fontId="6" fillId="2" borderId="34" xfId="0" applyFont="1" applyFill="1" applyBorder="1" applyAlignment="1">
      <alignment horizontal="left"/>
    </xf>
    <xf numFmtId="0" fontId="0" fillId="2" borderId="35" xfId="0" applyFill="1" applyBorder="1"/>
    <xf numFmtId="164" fontId="0" fillId="2" borderId="36" xfId="0" applyNumberFormat="1" applyFill="1" applyBorder="1" applyAlignment="1">
      <alignment horizontal="center"/>
    </xf>
    <xf numFmtId="1" fontId="0" fillId="2" borderId="19" xfId="0" applyNumberFormat="1" applyFill="1" applyBorder="1" applyAlignment="1">
      <alignment horizontal="right"/>
    </xf>
    <xf numFmtId="2" fontId="0" fillId="2" borderId="36" xfId="0" applyNumberFormat="1" applyFill="1" applyBorder="1" applyAlignment="1">
      <alignment horizontal="center"/>
    </xf>
    <xf numFmtId="0" fontId="0" fillId="0" borderId="36" xfId="0" applyFill="1" applyBorder="1" applyAlignment="1">
      <alignment horizontal="center"/>
    </xf>
    <xf numFmtId="164" fontId="0" fillId="0" borderId="36" xfId="0" applyNumberFormat="1" applyFill="1" applyBorder="1" applyAlignment="1">
      <alignment horizontal="center"/>
    </xf>
    <xf numFmtId="2" fontId="0" fillId="2" borderId="25" xfId="0" applyNumberFormat="1" applyFill="1" applyBorder="1" applyAlignment="1">
      <alignment horizontal="center"/>
    </xf>
    <xf numFmtId="164" fontId="0" fillId="2" borderId="33" xfId="0" applyNumberFormat="1" applyFill="1" applyBorder="1" applyAlignment="1">
      <alignment horizontal="center"/>
    </xf>
    <xf numFmtId="1" fontId="0" fillId="2" borderId="21" xfId="0" applyNumberFormat="1" applyFill="1" applyBorder="1" applyAlignment="1">
      <alignment horizontal="right"/>
    </xf>
    <xf numFmtId="2" fontId="0" fillId="2" borderId="22" xfId="0" applyNumberFormat="1" applyFill="1" applyBorder="1" applyAlignment="1">
      <alignment horizontal="center"/>
    </xf>
    <xf numFmtId="2" fontId="0" fillId="2" borderId="33" xfId="0" applyNumberFormat="1" applyFill="1" applyBorder="1" applyAlignment="1">
      <alignment horizontal="center"/>
    </xf>
    <xf numFmtId="0" fontId="6" fillId="0" borderId="0" xfId="0" applyFont="1" applyFill="1" applyAlignment="1">
      <alignment horizontal="right"/>
    </xf>
    <xf numFmtId="0" fontId="27" fillId="2" borderId="0" xfId="0" applyFont="1" applyFill="1" applyAlignment="1">
      <alignment horizontal="right"/>
    </xf>
    <xf numFmtId="0" fontId="27" fillId="3" borderId="0" xfId="0" applyFont="1" applyFill="1"/>
    <xf numFmtId="0" fontId="27" fillId="0" borderId="0" xfId="0" applyFont="1" applyAlignment="1">
      <alignment horizontal="right"/>
    </xf>
    <xf numFmtId="0" fontId="31" fillId="13" borderId="0" xfId="0" applyFont="1" applyFill="1"/>
    <xf numFmtId="0" fontId="6" fillId="0" borderId="32" xfId="0" applyFont="1" applyBorder="1" applyAlignment="1">
      <alignment horizontal="center"/>
    </xf>
    <xf numFmtId="0" fontId="6" fillId="0" borderId="36" xfId="0" applyFont="1" applyBorder="1" applyAlignment="1">
      <alignment horizontal="center"/>
    </xf>
    <xf numFmtId="0" fontId="5" fillId="0" borderId="33" xfId="0" applyFont="1" applyBorder="1"/>
    <xf numFmtId="0" fontId="6" fillId="3" borderId="0" xfId="0" applyFont="1" applyFill="1" applyBorder="1" applyAlignment="1"/>
    <xf numFmtId="0" fontId="31" fillId="0" borderId="0" xfId="0" applyFont="1" applyAlignment="1">
      <alignment horizontal="right"/>
    </xf>
    <xf numFmtId="0" fontId="6" fillId="0" borderId="33" xfId="0" applyFont="1" applyBorder="1" applyAlignment="1">
      <alignment horizontal="center"/>
    </xf>
    <xf numFmtId="0" fontId="27" fillId="0" borderId="0" xfId="0" applyFont="1" applyFill="1" applyBorder="1"/>
    <xf numFmtId="0" fontId="0" fillId="0" borderId="16" xfId="0" applyBorder="1"/>
    <xf numFmtId="0" fontId="0" fillId="0" borderId="17" xfId="0" applyBorder="1" applyAlignment="1">
      <alignment horizontal="center"/>
    </xf>
    <xf numFmtId="0" fontId="0" fillId="0" borderId="17" xfId="0" applyBorder="1"/>
    <xf numFmtId="0" fontId="6" fillId="0" borderId="19" xfId="0" applyFont="1" applyBorder="1" applyAlignment="1">
      <alignment horizontal="center"/>
    </xf>
    <xf numFmtId="0" fontId="6" fillId="0" borderId="0" xfId="0" applyFont="1" applyBorder="1" applyAlignment="1">
      <alignment horizontal="left"/>
    </xf>
    <xf numFmtId="9" fontId="26" fillId="0" borderId="0" xfId="0" applyNumberFormat="1" applyFont="1" applyBorder="1" applyAlignment="1">
      <alignment horizontal="center"/>
    </xf>
    <xf numFmtId="0" fontId="0" fillId="0" borderId="19" xfId="0" applyBorder="1" applyAlignment="1">
      <alignment horizontal="center"/>
    </xf>
    <xf numFmtId="0" fontId="0" fillId="0" borderId="0" xfId="0" applyBorder="1" applyAlignment="1">
      <alignment horizontal="right"/>
    </xf>
    <xf numFmtId="0" fontId="5" fillId="22" borderId="0" xfId="0" applyFont="1" applyFill="1" applyBorder="1" applyAlignment="1">
      <alignment horizontal="right"/>
    </xf>
    <xf numFmtId="0" fontId="26" fillId="22" borderId="0" xfId="0" applyFont="1" applyFill="1" applyBorder="1" applyAlignment="1">
      <alignment horizontal="right"/>
    </xf>
    <xf numFmtId="0" fontId="0" fillId="22" borderId="0" xfId="0" applyFill="1" applyBorder="1"/>
    <xf numFmtId="0" fontId="0" fillId="22" borderId="20" xfId="0" applyFill="1" applyBorder="1"/>
    <xf numFmtId="0" fontId="0" fillId="22" borderId="0" xfId="0" applyFill="1" applyBorder="1" applyAlignment="1">
      <alignment horizontal="right"/>
    </xf>
    <xf numFmtId="2" fontId="0" fillId="22" borderId="0" xfId="0" applyNumberFormat="1" applyFill="1" applyBorder="1" applyAlignment="1">
      <alignment horizontal="right"/>
    </xf>
    <xf numFmtId="2" fontId="0" fillId="0" borderId="0" xfId="0" applyNumberFormat="1" applyFill="1" applyBorder="1" applyAlignment="1">
      <alignment horizontal="right"/>
    </xf>
    <xf numFmtId="2" fontId="0" fillId="0" borderId="20" xfId="0" applyNumberFormat="1" applyFill="1" applyBorder="1" applyAlignment="1">
      <alignment horizontal="right"/>
    </xf>
    <xf numFmtId="2" fontId="0" fillId="22" borderId="0" xfId="0" applyNumberFormat="1" applyFill="1" applyBorder="1"/>
    <xf numFmtId="2" fontId="0" fillId="0" borderId="20" xfId="0" applyNumberFormat="1" applyFill="1" applyBorder="1"/>
    <xf numFmtId="0" fontId="0" fillId="0" borderId="20" xfId="0" applyFill="1" applyBorder="1" applyAlignment="1">
      <alignment horizontal="right"/>
    </xf>
    <xf numFmtId="164" fontId="0" fillId="22" borderId="0" xfId="0" applyNumberFormat="1" applyFill="1" applyBorder="1" applyAlignment="1">
      <alignment horizontal="right"/>
    </xf>
    <xf numFmtId="164" fontId="0" fillId="0" borderId="0" xfId="0" applyNumberFormat="1" applyFill="1" applyBorder="1" applyAlignment="1">
      <alignment horizontal="right"/>
    </xf>
    <xf numFmtId="164" fontId="0" fillId="0" borderId="20" xfId="0" applyNumberFormat="1" applyFill="1" applyBorder="1" applyAlignment="1">
      <alignment horizontal="right"/>
    </xf>
    <xf numFmtId="1" fontId="26" fillId="0" borderId="0" xfId="0" applyNumberFormat="1" applyFont="1" applyFill="1" applyBorder="1" applyAlignment="1">
      <alignment horizontal="center"/>
    </xf>
    <xf numFmtId="0" fontId="5" fillId="13" borderId="0" xfId="0" applyFont="1" applyFill="1" applyBorder="1" applyAlignment="1">
      <alignment horizontal="right"/>
    </xf>
    <xf numFmtId="0" fontId="5" fillId="0" borderId="20" xfId="0" applyFont="1" applyFill="1" applyBorder="1" applyAlignment="1">
      <alignment horizontal="right"/>
    </xf>
    <xf numFmtId="1" fontId="5" fillId="13" borderId="0" xfId="0" applyNumberFormat="1" applyFont="1" applyFill="1" applyBorder="1" applyAlignment="1">
      <alignment horizontal="right"/>
    </xf>
    <xf numFmtId="1" fontId="5" fillId="13" borderId="20" xfId="0" applyNumberFormat="1" applyFont="1" applyFill="1" applyBorder="1" applyAlignment="1">
      <alignment horizontal="right"/>
    </xf>
    <xf numFmtId="2" fontId="0" fillId="13" borderId="0" xfId="0" applyNumberFormat="1" applyFill="1" applyBorder="1" applyAlignment="1">
      <alignment horizontal="right"/>
    </xf>
    <xf numFmtId="2" fontId="0" fillId="13" borderId="0" xfId="0" applyNumberFormat="1" applyFill="1" applyBorder="1"/>
    <xf numFmtId="164" fontId="0" fillId="13" borderId="0" xfId="0" applyNumberFormat="1" applyFill="1" applyBorder="1" applyAlignment="1">
      <alignment horizontal="right"/>
    </xf>
    <xf numFmtId="0" fontId="0" fillId="19" borderId="0" xfId="0" applyFill="1" applyBorder="1" applyAlignment="1">
      <alignment horizontal="right"/>
    </xf>
    <xf numFmtId="165" fontId="0" fillId="19" borderId="0" xfId="0" applyNumberFormat="1" applyFill="1" applyBorder="1" applyAlignment="1">
      <alignment horizontal="right"/>
    </xf>
    <xf numFmtId="165" fontId="0" fillId="19" borderId="20" xfId="0" applyNumberFormat="1" applyFill="1" applyBorder="1" applyAlignment="1">
      <alignment horizontal="right"/>
    </xf>
    <xf numFmtId="0" fontId="0" fillId="0" borderId="21" xfId="0" applyBorder="1" applyAlignment="1">
      <alignment horizontal="center"/>
    </xf>
    <xf numFmtId="0" fontId="0" fillId="0" borderId="22" xfId="0" applyBorder="1" applyAlignment="1">
      <alignment horizontal="right"/>
    </xf>
    <xf numFmtId="2" fontId="0" fillId="0" borderId="22" xfId="0" applyNumberFormat="1" applyBorder="1" applyAlignment="1">
      <alignment horizontal="right"/>
    </xf>
    <xf numFmtId="0" fontId="6" fillId="0" borderId="0" xfId="0" applyFont="1" applyBorder="1" applyAlignment="1">
      <alignment horizontal="right"/>
    </xf>
    <xf numFmtId="0" fontId="26" fillId="0" borderId="0" xfId="0" applyFont="1" applyBorder="1" applyAlignment="1">
      <alignment horizontal="right"/>
    </xf>
    <xf numFmtId="2" fontId="0" fillId="0" borderId="0" xfId="0" applyNumberFormat="1" applyFill="1" applyAlignment="1">
      <alignment horizontal="right"/>
    </xf>
    <xf numFmtId="164" fontId="0" fillId="0" borderId="0" xfId="0" applyNumberFormat="1" applyFill="1" applyAlignment="1">
      <alignment horizontal="right"/>
    </xf>
    <xf numFmtId="1" fontId="26" fillId="0" borderId="0" xfId="0" applyNumberFormat="1" applyFont="1" applyFill="1" applyBorder="1" applyAlignment="1">
      <alignment horizontal="right"/>
    </xf>
    <xf numFmtId="1" fontId="26" fillId="0" borderId="20" xfId="0" applyNumberFormat="1" applyFont="1" applyFill="1" applyBorder="1" applyAlignment="1">
      <alignment horizontal="right"/>
    </xf>
    <xf numFmtId="1" fontId="26" fillId="0" borderId="0" xfId="0" applyNumberFormat="1" applyFont="1" applyFill="1" applyAlignment="1">
      <alignment horizontal="right"/>
    </xf>
    <xf numFmtId="1" fontId="5" fillId="0" borderId="0" xfId="0" applyNumberFormat="1" applyFont="1" applyFill="1" applyBorder="1" applyAlignment="1">
      <alignment horizontal="right"/>
    </xf>
    <xf numFmtId="1" fontId="5" fillId="0" borderId="20" xfId="0" applyNumberFormat="1" applyFont="1" applyFill="1" applyBorder="1" applyAlignment="1">
      <alignment horizontal="right"/>
    </xf>
    <xf numFmtId="1" fontId="5" fillId="0" borderId="0" xfId="0" applyNumberFormat="1" applyFont="1" applyFill="1" applyAlignment="1">
      <alignment horizontal="right"/>
    </xf>
    <xf numFmtId="0" fontId="5" fillId="13" borderId="20" xfId="0" applyFont="1" applyFill="1" applyBorder="1" applyAlignment="1">
      <alignment horizontal="right"/>
    </xf>
    <xf numFmtId="0" fontId="5" fillId="13" borderId="0" xfId="0" applyFont="1" applyFill="1" applyAlignment="1">
      <alignment horizontal="right"/>
    </xf>
    <xf numFmtId="168" fontId="0" fillId="19" borderId="0" xfId="0" applyNumberFormat="1" applyFill="1" applyBorder="1" applyAlignment="1">
      <alignment horizontal="right"/>
    </xf>
    <xf numFmtId="168" fontId="0" fillId="19" borderId="20" xfId="0" applyNumberFormat="1" applyFill="1" applyBorder="1" applyAlignment="1">
      <alignment horizontal="right"/>
    </xf>
    <xf numFmtId="168" fontId="0" fillId="19" borderId="0" xfId="0" applyNumberFormat="1" applyFill="1" applyAlignment="1">
      <alignment horizontal="right"/>
    </xf>
    <xf numFmtId="1" fontId="0" fillId="6" borderId="0" xfId="0" applyNumberFormat="1" applyFill="1" applyAlignment="1">
      <alignment horizontal="center"/>
    </xf>
    <xf numFmtId="2" fontId="0" fillId="6" borderId="15" xfId="0" applyNumberFormat="1" applyFill="1" applyBorder="1" applyAlignment="1">
      <alignment horizontal="center"/>
    </xf>
    <xf numFmtId="1" fontId="0" fillId="0" borderId="15" xfId="0" applyNumberFormat="1" applyBorder="1" applyAlignment="1">
      <alignment horizontal="center"/>
    </xf>
    <xf numFmtId="0" fontId="0" fillId="6" borderId="37" xfId="0" applyFill="1" applyBorder="1" applyAlignment="1">
      <alignment horizontal="center"/>
    </xf>
    <xf numFmtId="0" fontId="0" fillId="6" borderId="28" xfId="0" applyFill="1" applyBorder="1" applyAlignment="1">
      <alignment horizontal="center"/>
    </xf>
    <xf numFmtId="0" fontId="0" fillId="0" borderId="20" xfId="0" applyBorder="1" applyAlignment="1">
      <alignment horizontal="center"/>
    </xf>
    <xf numFmtId="165" fontId="0" fillId="0" borderId="19" xfId="0" applyNumberFormat="1" applyBorder="1" applyAlignment="1">
      <alignment horizontal="center"/>
    </xf>
    <xf numFmtId="165" fontId="0" fillId="0" borderId="20" xfId="0" applyNumberFormat="1" applyBorder="1" applyAlignment="1">
      <alignment horizontal="center"/>
    </xf>
    <xf numFmtId="164" fontId="0" fillId="0" borderId="19" xfId="0" applyNumberFormat="1" applyBorder="1" applyAlignment="1">
      <alignment horizontal="center"/>
    </xf>
    <xf numFmtId="164" fontId="0" fillId="0" borderId="20" xfId="0" applyNumberFormat="1" applyBorder="1" applyAlignment="1">
      <alignment horizontal="center"/>
    </xf>
    <xf numFmtId="0" fontId="0" fillId="0" borderId="21" xfId="0" applyBorder="1"/>
    <xf numFmtId="0" fontId="54" fillId="0" borderId="0" xfId="0" applyFont="1" applyAlignment="1">
      <alignment horizontal="right"/>
    </xf>
    <xf numFmtId="0" fontId="0" fillId="22" borderId="27" xfId="0" applyFill="1" applyBorder="1"/>
    <xf numFmtId="0" fontId="0" fillId="0" borderId="27" xfId="0" applyFill="1" applyBorder="1"/>
    <xf numFmtId="0" fontId="54" fillId="0" borderId="0" xfId="0" applyFont="1"/>
    <xf numFmtId="1" fontId="54" fillId="0" borderId="0" xfId="0" applyNumberFormat="1" applyFont="1" applyFill="1"/>
    <xf numFmtId="0" fontId="54" fillId="0" borderId="0" xfId="0" applyFont="1" applyFill="1"/>
    <xf numFmtId="0" fontId="0" fillId="0" borderId="27" xfId="0" applyBorder="1"/>
    <xf numFmtId="20" fontId="6" fillId="0" borderId="0" xfId="0" applyNumberFormat="1" applyFont="1" applyAlignment="1">
      <alignment horizontal="right"/>
    </xf>
    <xf numFmtId="170" fontId="6" fillId="0" borderId="0" xfId="0" applyNumberFormat="1" applyFont="1" applyAlignment="1">
      <alignment horizontal="left"/>
    </xf>
    <xf numFmtId="20" fontId="0" fillId="0" borderId="0" xfId="0" applyNumberFormat="1" applyAlignment="1">
      <alignment horizontal="right"/>
    </xf>
    <xf numFmtId="170" fontId="0" fillId="0" borderId="0" xfId="0" applyNumberFormat="1" applyAlignment="1">
      <alignment horizontal="left"/>
    </xf>
    <xf numFmtId="0" fontId="0" fillId="0" borderId="0" xfId="0" applyAlignment="1">
      <alignment horizontal="left" vertical="top" wrapText="1"/>
    </xf>
    <xf numFmtId="0" fontId="0" fillId="0" borderId="0" xfId="0" applyAlignment="1">
      <alignment vertical="top" wrapText="1"/>
    </xf>
    <xf numFmtId="0" fontId="0" fillId="2" borderId="0" xfId="0" applyFill="1" applyAlignment="1">
      <alignment vertical="top"/>
    </xf>
    <xf numFmtId="170" fontId="0" fillId="0" borderId="0" xfId="0" applyNumberFormat="1" applyFill="1" applyAlignment="1">
      <alignment horizontal="center"/>
    </xf>
    <xf numFmtId="20" fontId="6" fillId="0" borderId="0" xfId="0" applyNumberFormat="1" applyFont="1" applyFill="1" applyAlignment="1">
      <alignment horizontal="center"/>
    </xf>
    <xf numFmtId="0" fontId="6" fillId="3" borderId="0" xfId="0" applyFont="1" applyFill="1" applyAlignment="1">
      <alignment horizontal="center" vertical="top" wrapText="1"/>
    </xf>
    <xf numFmtId="0" fontId="0" fillId="3" borderId="0" xfId="0" applyFill="1" applyAlignment="1">
      <alignment horizontal="center" vertical="top" wrapText="1"/>
    </xf>
    <xf numFmtId="0" fontId="6" fillId="3" borderId="0" xfId="0" applyFont="1" applyFill="1" applyAlignment="1">
      <alignment horizontal="center"/>
    </xf>
    <xf numFmtId="0" fontId="27" fillId="2" borderId="7" xfId="0" applyFont="1" applyFill="1" applyBorder="1"/>
    <xf numFmtId="0" fontId="6" fillId="2" borderId="0" xfId="0" applyFont="1" applyFill="1" applyBorder="1" applyAlignment="1">
      <alignment horizontal="left"/>
    </xf>
    <xf numFmtId="0" fontId="5" fillId="2" borderId="15" xfId="0" applyFont="1" applyFill="1" applyBorder="1" applyAlignment="1">
      <alignment horizontal="right"/>
    </xf>
    <xf numFmtId="0" fontId="31" fillId="6" borderId="15" xfId="0" applyFont="1" applyFill="1" applyBorder="1" applyAlignment="1">
      <alignment horizontal="center"/>
    </xf>
    <xf numFmtId="0" fontId="31" fillId="2" borderId="15" xfId="0" applyFont="1" applyFill="1" applyBorder="1" applyAlignment="1">
      <alignment horizontal="center"/>
    </xf>
    <xf numFmtId="2" fontId="31" fillId="6" borderId="15" xfId="0" applyNumberFormat="1" applyFont="1" applyFill="1" applyBorder="1" applyAlignment="1">
      <alignment horizontal="center"/>
    </xf>
    <xf numFmtId="2" fontId="31" fillId="2" borderId="15" xfId="0" applyNumberFormat="1" applyFont="1" applyFill="1" applyBorder="1" applyAlignment="1">
      <alignment horizontal="center"/>
    </xf>
    <xf numFmtId="170" fontId="31" fillId="2" borderId="15" xfId="0" applyNumberFormat="1" applyFont="1" applyFill="1" applyBorder="1" applyAlignment="1">
      <alignment horizontal="center"/>
    </xf>
    <xf numFmtId="12" fontId="31" fillId="2" borderId="15" xfId="0" applyNumberFormat="1" applyFont="1" applyFill="1" applyBorder="1" applyAlignment="1">
      <alignment horizontal="center"/>
    </xf>
    <xf numFmtId="2" fontId="31" fillId="2" borderId="15" xfId="0" applyNumberFormat="1" applyFont="1" applyFill="1" applyBorder="1"/>
    <xf numFmtId="9" fontId="31" fillId="2" borderId="15" xfId="1" applyFont="1" applyFill="1" applyBorder="1" applyAlignment="1">
      <alignment horizontal="center"/>
    </xf>
    <xf numFmtId="10" fontId="31" fillId="2" borderId="15" xfId="1" applyNumberFormat="1" applyFont="1" applyFill="1" applyBorder="1" applyAlignment="1">
      <alignment horizontal="center"/>
    </xf>
    <xf numFmtId="170" fontId="0" fillId="6" borderId="0" xfId="0" applyNumberFormat="1" applyFill="1"/>
    <xf numFmtId="170" fontId="6" fillId="2" borderId="0" xfId="0" applyNumberFormat="1" applyFont="1" applyFill="1"/>
    <xf numFmtId="0" fontId="0" fillId="0" borderId="3" xfId="0" applyBorder="1" applyAlignment="1">
      <alignment horizontal="center"/>
    </xf>
    <xf numFmtId="0" fontId="6" fillId="0" borderId="1" xfId="32" applyFont="1" applyBorder="1"/>
    <xf numFmtId="0" fontId="60" fillId="0" borderId="2" xfId="32" applyBorder="1"/>
    <xf numFmtId="0" fontId="60" fillId="0" borderId="3" xfId="32" applyBorder="1"/>
    <xf numFmtId="0" fontId="6" fillId="0" borderId="4" xfId="32" applyFont="1" applyBorder="1"/>
    <xf numFmtId="0" fontId="60" fillId="0" borderId="0" xfId="32" applyBorder="1"/>
    <xf numFmtId="0" fontId="60" fillId="0" borderId="5" xfId="32" applyBorder="1"/>
    <xf numFmtId="0" fontId="60" fillId="0" borderId="4" xfId="32" applyBorder="1"/>
    <xf numFmtId="0" fontId="60" fillId="0" borderId="0" xfId="32" applyBorder="1" applyAlignment="1">
      <alignment horizontal="center"/>
    </xf>
    <xf numFmtId="0" fontId="60" fillId="0" borderId="5" xfId="32" applyBorder="1" applyAlignment="1">
      <alignment horizontal="center"/>
    </xf>
    <xf numFmtId="0" fontId="60" fillId="6" borderId="4" xfId="32" applyFill="1" applyBorder="1" applyAlignment="1">
      <alignment horizontal="right"/>
    </xf>
    <xf numFmtId="170" fontId="26" fillId="6" borderId="0" xfId="32" applyNumberFormat="1" applyFont="1" applyFill="1" applyBorder="1"/>
    <xf numFmtId="170" fontId="26" fillId="6" borderId="5" xfId="32" applyNumberFormat="1" applyFont="1" applyFill="1" applyBorder="1"/>
    <xf numFmtId="0" fontId="60" fillId="0" borderId="4" xfId="32" applyBorder="1" applyAlignment="1">
      <alignment horizontal="right"/>
    </xf>
    <xf numFmtId="170" fontId="60" fillId="0" borderId="0" xfId="32" applyNumberFormat="1" applyBorder="1"/>
    <xf numFmtId="170" fontId="60" fillId="0" borderId="5" xfId="32" applyNumberFormat="1" applyBorder="1"/>
    <xf numFmtId="164" fontId="60" fillId="0" borderId="0" xfId="32" applyNumberFormat="1" applyBorder="1"/>
    <xf numFmtId="164" fontId="60" fillId="0" borderId="5" xfId="32" applyNumberFormat="1" applyBorder="1"/>
    <xf numFmtId="0" fontId="60" fillId="0" borderId="6" xfId="32" applyBorder="1" applyAlignment="1">
      <alignment horizontal="right"/>
    </xf>
    <xf numFmtId="9" fontId="5" fillId="0" borderId="7" xfId="1" applyBorder="1"/>
    <xf numFmtId="9" fontId="5" fillId="0" borderId="8" xfId="1" applyBorder="1"/>
    <xf numFmtId="9" fontId="5" fillId="0" borderId="0" xfId="1"/>
    <xf numFmtId="170" fontId="60" fillId="0" borderId="0" xfId="32" applyNumberFormat="1"/>
    <xf numFmtId="164" fontId="60" fillId="0" borderId="2" xfId="32" applyNumberFormat="1" applyBorder="1"/>
    <xf numFmtId="164" fontId="60" fillId="0" borderId="3" xfId="32" applyNumberFormat="1" applyBorder="1"/>
    <xf numFmtId="0" fontId="6" fillId="0" borderId="4" xfId="32" applyFont="1" applyBorder="1" applyAlignment="1">
      <alignment horizontal="left"/>
    </xf>
    <xf numFmtId="9" fontId="5" fillId="0" borderId="0" xfId="1" applyBorder="1"/>
    <xf numFmtId="9" fontId="5" fillId="0" borderId="5" xfId="1" applyBorder="1"/>
    <xf numFmtId="0" fontId="60" fillId="0" borderId="1" xfId="32" applyBorder="1"/>
    <xf numFmtId="0" fontId="60" fillId="6" borderId="4" xfId="32" applyFill="1" applyBorder="1"/>
    <xf numFmtId="165" fontId="26" fillId="6" borderId="0" xfId="32" applyNumberFormat="1" applyFont="1" applyFill="1" applyBorder="1"/>
    <xf numFmtId="0" fontId="26" fillId="6" borderId="0" xfId="32" applyFont="1" applyFill="1" applyBorder="1"/>
    <xf numFmtId="0" fontId="26" fillId="6" borderId="5" xfId="32" applyFont="1" applyFill="1" applyBorder="1"/>
    <xf numFmtId="165" fontId="60" fillId="0" borderId="0" xfId="32" applyNumberFormat="1" applyBorder="1"/>
    <xf numFmtId="10" fontId="5" fillId="0" borderId="0" xfId="1" applyNumberFormat="1" applyBorder="1"/>
    <xf numFmtId="164" fontId="6" fillId="0" borderId="0" xfId="32" applyNumberFormat="1" applyFont="1" applyBorder="1"/>
    <xf numFmtId="0" fontId="60" fillId="0" borderId="0" xfId="32" applyBorder="1" applyAlignment="1">
      <alignment horizontal="left"/>
    </xf>
    <xf numFmtId="0" fontId="60" fillId="0" borderId="6" xfId="32" applyBorder="1"/>
    <xf numFmtId="0" fontId="60" fillId="0" borderId="7" xfId="32" applyBorder="1"/>
    <xf numFmtId="164" fontId="60" fillId="0" borderId="7" xfId="32" applyNumberFormat="1" applyBorder="1"/>
    <xf numFmtId="164" fontId="60" fillId="0" borderId="8" xfId="32" applyNumberFormat="1" applyBorder="1"/>
    <xf numFmtId="0" fontId="60" fillId="0" borderId="8" xfId="32" applyBorder="1"/>
    <xf numFmtId="0" fontId="27" fillId="0" borderId="0" xfId="0" applyFont="1" applyAlignment="1">
      <alignment horizontal="left"/>
    </xf>
    <xf numFmtId="0" fontId="0" fillId="0" borderId="12" xfId="0" applyFill="1" applyBorder="1" applyAlignment="1">
      <alignment horizontal="center"/>
    </xf>
    <xf numFmtId="0" fontId="0" fillId="2" borderId="2" xfId="0" applyFill="1" applyBorder="1" applyAlignment="1">
      <alignment horizontal="center"/>
    </xf>
    <xf numFmtId="0" fontId="5" fillId="2" borderId="12" xfId="0" applyFont="1" applyFill="1" applyBorder="1" applyAlignment="1">
      <alignment horizontal="center" vertical="center"/>
    </xf>
    <xf numFmtId="0" fontId="0" fillId="0" borderId="13" xfId="0" applyFill="1" applyBorder="1" applyAlignment="1">
      <alignment horizontal="center"/>
    </xf>
    <xf numFmtId="0" fontId="5" fillId="2" borderId="13" xfId="0" applyFont="1" applyFill="1" applyBorder="1" applyAlignment="1">
      <alignment horizontal="center" vertical="center"/>
    </xf>
    <xf numFmtId="0" fontId="0" fillId="0" borderId="14" xfId="0" applyFill="1" applyBorder="1" applyAlignment="1">
      <alignment horizontal="center"/>
    </xf>
    <xf numFmtId="0" fontId="5" fillId="2" borderId="14" xfId="0" applyFont="1" applyFill="1" applyBorder="1" applyAlignment="1">
      <alignment horizontal="center" vertical="center"/>
    </xf>
    <xf numFmtId="164" fontId="0" fillId="2" borderId="8" xfId="0" applyNumberFormat="1" applyFill="1" applyBorder="1" applyAlignment="1">
      <alignment horizontal="center"/>
    </xf>
    <xf numFmtId="49" fontId="5" fillId="2" borderId="6" xfId="5" applyNumberFormat="1" applyFont="1" applyFill="1" applyBorder="1" applyAlignment="1">
      <alignment horizontal="center"/>
    </xf>
    <xf numFmtId="177" fontId="5" fillId="0" borderId="15" xfId="1" applyNumberFormat="1" applyBorder="1" applyAlignment="1">
      <alignment horizontal="center"/>
    </xf>
    <xf numFmtId="2" fontId="0" fillId="0" borderId="15" xfId="0" applyNumberFormat="1" applyBorder="1" applyAlignment="1">
      <alignment horizontal="center"/>
    </xf>
    <xf numFmtId="2" fontId="0" fillId="2" borderId="15" xfId="0" applyNumberFormat="1" applyFill="1" applyBorder="1" applyAlignment="1">
      <alignment horizontal="center"/>
    </xf>
    <xf numFmtId="170" fontId="0" fillId="0" borderId="14" xfId="0" applyNumberFormat="1" applyFill="1" applyBorder="1" applyAlignment="1">
      <alignment horizontal="center"/>
    </xf>
    <xf numFmtId="2" fontId="0" fillId="0" borderId="14" xfId="0" applyNumberFormat="1" applyFill="1" applyBorder="1" applyAlignment="1">
      <alignment horizontal="center"/>
    </xf>
    <xf numFmtId="10" fontId="5" fillId="0" borderId="15" xfId="1" applyNumberFormat="1" applyBorder="1" applyAlignment="1">
      <alignment horizontal="center"/>
    </xf>
    <xf numFmtId="170" fontId="0" fillId="2" borderId="8" xfId="0" applyNumberFormat="1" applyFill="1" applyBorder="1" applyAlignment="1">
      <alignment horizontal="center"/>
    </xf>
    <xf numFmtId="165" fontId="0" fillId="6" borderId="0" xfId="0" applyNumberFormat="1" applyFill="1"/>
    <xf numFmtId="2" fontId="0" fillId="6" borderId="0" xfId="0" applyNumberFormat="1" applyFill="1"/>
    <xf numFmtId="0" fontId="0" fillId="25" borderId="0" xfId="0" applyFill="1"/>
    <xf numFmtId="182" fontId="0" fillId="2" borderId="0" xfId="0" applyNumberFormat="1" applyFill="1"/>
    <xf numFmtId="0" fontId="49" fillId="3" borderId="0" xfId="0" applyFont="1" applyFill="1"/>
    <xf numFmtId="0" fontId="0" fillId="0" borderId="12" xfId="0" applyBorder="1" applyAlignment="1">
      <alignment horizontal="center"/>
    </xf>
    <xf numFmtId="0" fontId="54" fillId="6" borderId="13" xfId="0" applyFont="1" applyFill="1" applyBorder="1" applyAlignment="1">
      <alignment horizontal="center"/>
    </xf>
    <xf numFmtId="165" fontId="54" fillId="6" borderId="13" xfId="0" applyNumberFormat="1" applyFont="1" applyFill="1" applyBorder="1" applyAlignment="1">
      <alignment horizontal="center"/>
    </xf>
    <xf numFmtId="0" fontId="0" fillId="0" borderId="13" xfId="0" applyBorder="1" applyAlignment="1">
      <alignment horizontal="center"/>
    </xf>
    <xf numFmtId="2" fontId="0" fillId="3" borderId="13" xfId="0" applyNumberFormat="1" applyFill="1" applyBorder="1" applyAlignment="1">
      <alignment horizontal="center"/>
    </xf>
    <xf numFmtId="165" fontId="6" fillId="3" borderId="13" xfId="0" applyNumberFormat="1" applyFont="1" applyFill="1" applyBorder="1" applyAlignment="1">
      <alignment horizontal="center"/>
    </xf>
    <xf numFmtId="1" fontId="5" fillId="3" borderId="13" xfId="0" applyNumberFormat="1" applyFont="1" applyFill="1" applyBorder="1" applyAlignment="1">
      <alignment horizontal="center"/>
    </xf>
    <xf numFmtId="0" fontId="0" fillId="3" borderId="0" xfId="0" applyFill="1" applyAlignment="1">
      <alignment horizontal="right" vertical="top" wrapText="1"/>
    </xf>
    <xf numFmtId="2" fontId="0" fillId="3" borderId="13" xfId="0" applyNumberFormat="1" applyFill="1" applyBorder="1" applyAlignment="1">
      <alignment horizontal="center" vertical="top"/>
    </xf>
    <xf numFmtId="0" fontId="6" fillId="3" borderId="0" xfId="0" applyFont="1" applyFill="1" applyAlignment="1">
      <alignment vertical="top" wrapText="1"/>
    </xf>
    <xf numFmtId="186" fontId="0" fillId="3" borderId="0" xfId="0" applyNumberFormat="1" applyFill="1"/>
    <xf numFmtId="16" fontId="0" fillId="3" borderId="0" xfId="0" applyNumberFormat="1" applyFill="1" applyAlignment="1">
      <alignment horizontal="center"/>
    </xf>
    <xf numFmtId="12" fontId="0" fillId="3" borderId="0" xfId="0" applyNumberFormat="1" applyFill="1"/>
    <xf numFmtId="164" fontId="0" fillId="3" borderId="13" xfId="0" applyNumberFormat="1" applyFill="1" applyBorder="1" applyAlignment="1">
      <alignment horizontal="center"/>
    </xf>
    <xf numFmtId="173" fontId="0" fillId="3" borderId="13" xfId="0" applyNumberFormat="1" applyFill="1" applyBorder="1" applyAlignment="1">
      <alignment horizontal="center"/>
    </xf>
    <xf numFmtId="165" fontId="5" fillId="3" borderId="13" xfId="0" applyNumberFormat="1" applyFont="1" applyFill="1" applyBorder="1" applyAlignment="1">
      <alignment horizontal="center"/>
    </xf>
    <xf numFmtId="2" fontId="6" fillId="3" borderId="13" xfId="0" applyNumberFormat="1" applyFont="1" applyFill="1" applyBorder="1" applyAlignment="1">
      <alignment horizontal="center"/>
    </xf>
    <xf numFmtId="1" fontId="0" fillId="22" borderId="0" xfId="0" applyNumberFormat="1" applyFill="1"/>
    <xf numFmtId="164" fontId="0" fillId="22" borderId="0" xfId="0" applyNumberFormat="1" applyFill="1"/>
    <xf numFmtId="170" fontId="0" fillId="22" borderId="0" xfId="0" applyNumberFormat="1" applyFill="1"/>
    <xf numFmtId="0" fontId="0" fillId="0" borderId="1" xfId="0" applyBorder="1" applyAlignment="1">
      <alignment horizontal="right"/>
    </xf>
    <xf numFmtId="2" fontId="0" fillId="0" borderId="2" xfId="0" applyNumberFormat="1" applyBorder="1"/>
    <xf numFmtId="2" fontId="0" fillId="0" borderId="3" xfId="0" applyNumberFormat="1" applyBorder="1"/>
    <xf numFmtId="0" fontId="0" fillId="0" borderId="4" xfId="0" applyBorder="1" applyAlignment="1">
      <alignment horizontal="right"/>
    </xf>
    <xf numFmtId="2" fontId="0" fillId="0" borderId="5" xfId="0" applyNumberFormat="1" applyBorder="1"/>
    <xf numFmtId="0" fontId="0" fillId="0" borderId="6" xfId="0" applyBorder="1" applyAlignment="1">
      <alignment horizontal="right"/>
    </xf>
    <xf numFmtId="2" fontId="0" fillId="0" borderId="7" xfId="0" applyNumberFormat="1" applyBorder="1"/>
    <xf numFmtId="2" fontId="0" fillId="0" borderId="8" xfId="0" applyNumberFormat="1" applyBorder="1"/>
    <xf numFmtId="1" fontId="0" fillId="3" borderId="0" xfId="0" applyNumberFormat="1" applyFill="1" applyBorder="1"/>
    <xf numFmtId="170" fontId="0" fillId="3" borderId="0" xfId="0" applyNumberFormat="1" applyFill="1" applyBorder="1"/>
    <xf numFmtId="2" fontId="0" fillId="4" borderId="0" xfId="0" applyNumberFormat="1" applyFill="1" applyAlignment="1">
      <alignment horizontal="center"/>
    </xf>
    <xf numFmtId="2" fontId="0" fillId="3" borderId="0" xfId="0" applyNumberFormat="1" applyFill="1" applyAlignment="1">
      <alignment horizontal="left"/>
    </xf>
    <xf numFmtId="0" fontId="0" fillId="4" borderId="0" xfId="0" applyFill="1" applyAlignment="1">
      <alignment horizontal="center"/>
    </xf>
    <xf numFmtId="164" fontId="0" fillId="3" borderId="0" xfId="0" applyNumberFormat="1" applyFill="1" applyAlignment="1">
      <alignment horizontal="center"/>
    </xf>
    <xf numFmtId="0" fontId="6" fillId="3" borderId="1" xfId="0" applyFont="1" applyFill="1" applyBorder="1"/>
    <xf numFmtId="0" fontId="0" fillId="3" borderId="2" xfId="0" applyFill="1" applyBorder="1"/>
    <xf numFmtId="0" fontId="0" fillId="3" borderId="3" xfId="0" applyFill="1" applyBorder="1"/>
    <xf numFmtId="0" fontId="0" fillId="3" borderId="4" xfId="0" applyFill="1" applyBorder="1"/>
    <xf numFmtId="0" fontId="39" fillId="3" borderId="4" xfId="0" applyFont="1" applyFill="1" applyBorder="1"/>
    <xf numFmtId="0" fontId="39" fillId="3" borderId="6" xfId="0" applyFont="1" applyFill="1" applyBorder="1"/>
    <xf numFmtId="0" fontId="27" fillId="0" borderId="0" xfId="0" applyFont="1" applyAlignment="1">
      <alignment horizontal="center"/>
    </xf>
    <xf numFmtId="0" fontId="27" fillId="0" borderId="0" xfId="0" applyFont="1" applyBorder="1"/>
    <xf numFmtId="0" fontId="27" fillId="0" borderId="16" xfId="0" applyFont="1" applyBorder="1"/>
    <xf numFmtId="0" fontId="27" fillId="0" borderId="17" xfId="0" applyFont="1" applyBorder="1"/>
    <xf numFmtId="0" fontId="27" fillId="0" borderId="18" xfId="0" applyFont="1" applyBorder="1"/>
    <xf numFmtId="0" fontId="27" fillId="0" borderId="19" xfId="0" applyFont="1" applyBorder="1" applyAlignment="1">
      <alignment horizontal="center"/>
    </xf>
    <xf numFmtId="0" fontId="70" fillId="0" borderId="0" xfId="0" applyFont="1" applyBorder="1"/>
    <xf numFmtId="0" fontId="27" fillId="0" borderId="20" xfId="0" applyFont="1" applyBorder="1"/>
    <xf numFmtId="0" fontId="27" fillId="0" borderId="19" xfId="0" applyFont="1" applyBorder="1"/>
    <xf numFmtId="0" fontId="27" fillId="0" borderId="15" xfId="0" applyFont="1" applyBorder="1" applyAlignment="1">
      <alignment horizontal="center"/>
    </xf>
    <xf numFmtId="0" fontId="27" fillId="0" borderId="0" xfId="0" applyFont="1" applyBorder="1" applyAlignment="1">
      <alignment horizontal="center"/>
    </xf>
    <xf numFmtId="0" fontId="27" fillId="13" borderId="15" xfId="0" applyFont="1" applyFill="1" applyBorder="1" applyAlignment="1">
      <alignment horizontal="center"/>
    </xf>
    <xf numFmtId="49" fontId="27" fillId="0" borderId="0" xfId="0" applyNumberFormat="1" applyFont="1" applyAlignment="1">
      <alignment horizontal="center"/>
    </xf>
    <xf numFmtId="0" fontId="72" fillId="0" borderId="0" xfId="0" applyFont="1" applyBorder="1" applyAlignment="1">
      <alignment horizontal="right"/>
    </xf>
    <xf numFmtId="0" fontId="27" fillId="26" borderId="15" xfId="0" applyFont="1" applyFill="1" applyBorder="1" applyAlignment="1">
      <alignment horizontal="center"/>
    </xf>
    <xf numFmtId="0" fontId="27" fillId="0" borderId="21" xfId="0" applyFont="1" applyBorder="1"/>
    <xf numFmtId="0" fontId="27" fillId="0" borderId="22" xfId="0" applyFont="1" applyBorder="1"/>
    <xf numFmtId="0" fontId="27" fillId="0" borderId="23" xfId="0" applyFont="1" applyBorder="1"/>
    <xf numFmtId="0" fontId="73" fillId="2" borderId="15" xfId="0" applyFont="1" applyFill="1" applyBorder="1" applyAlignment="1">
      <alignment horizontal="center"/>
    </xf>
    <xf numFmtId="0" fontId="73" fillId="0" borderId="0" xfId="0" applyFont="1" applyBorder="1"/>
    <xf numFmtId="0" fontId="27" fillId="0" borderId="0" xfId="0" applyFont="1" applyBorder="1" applyAlignment="1">
      <alignment horizontal="right"/>
    </xf>
    <xf numFmtId="0" fontId="27" fillId="13" borderId="0" xfId="0" applyFont="1" applyFill="1" applyBorder="1" applyAlignment="1">
      <alignment horizontal="center"/>
    </xf>
    <xf numFmtId="0" fontId="27" fillId="2" borderId="0" xfId="0" applyFont="1" applyFill="1" applyBorder="1" applyAlignment="1">
      <alignment horizontal="center"/>
    </xf>
    <xf numFmtId="0" fontId="27" fillId="2" borderId="20" xfId="0" applyFont="1" applyFill="1" applyBorder="1" applyAlignment="1">
      <alignment horizontal="center"/>
    </xf>
    <xf numFmtId="0" fontId="27" fillId="0" borderId="15" xfId="0" applyFont="1" applyBorder="1"/>
    <xf numFmtId="0" fontId="5" fillId="0" borderId="0" xfId="0" applyFont="1" applyBorder="1" applyAlignment="1">
      <alignment horizontal="center"/>
    </xf>
    <xf numFmtId="0" fontId="27" fillId="0" borderId="22" xfId="0" applyFont="1" applyBorder="1" applyAlignment="1">
      <alignment horizontal="center"/>
    </xf>
    <xf numFmtId="0" fontId="27" fillId="0" borderId="5" xfId="0" applyFont="1" applyBorder="1"/>
    <xf numFmtId="0" fontId="5" fillId="0" borderId="15" xfId="0" applyFont="1" applyBorder="1" applyAlignment="1">
      <alignment horizontal="center"/>
    </xf>
    <xf numFmtId="0" fontId="5" fillId="0" borderId="5" xfId="0" applyFont="1" applyBorder="1" applyAlignment="1">
      <alignment horizontal="center"/>
    </xf>
    <xf numFmtId="0" fontId="5" fillId="0" borderId="5" xfId="0" applyFont="1" applyBorder="1"/>
    <xf numFmtId="0" fontId="27" fillId="0" borderId="7" xfId="0" applyFont="1" applyBorder="1"/>
    <xf numFmtId="0" fontId="27" fillId="0" borderId="8" xfId="0" applyFont="1" applyBorder="1"/>
    <xf numFmtId="170" fontId="5" fillId="0" borderId="0" xfId="0" applyNumberFormat="1" applyFont="1" applyAlignment="1">
      <alignment horizontal="center"/>
    </xf>
    <xf numFmtId="1" fontId="5" fillId="0" borderId="0" xfId="0" applyNumberFormat="1" applyFont="1" applyAlignment="1">
      <alignment horizontal="center"/>
    </xf>
    <xf numFmtId="165" fontId="0" fillId="0" borderId="0" xfId="0" applyNumberFormat="1" applyFill="1"/>
    <xf numFmtId="1" fontId="0" fillId="0" borderId="0" xfId="0" applyNumberFormat="1" applyFill="1"/>
    <xf numFmtId="0" fontId="27" fillId="0" borderId="1" xfId="0" applyFont="1" applyBorder="1"/>
    <xf numFmtId="0" fontId="27" fillId="0" borderId="2" xfId="0" applyFont="1" applyBorder="1"/>
    <xf numFmtId="0" fontId="27" fillId="0" borderId="3" xfId="0" applyFont="1" applyBorder="1"/>
    <xf numFmtId="0" fontId="27" fillId="0" borderId="4" xfId="0" applyFont="1" applyBorder="1"/>
    <xf numFmtId="0" fontId="5" fillId="0" borderId="0" xfId="0" applyFont="1" applyBorder="1" applyAlignment="1">
      <alignment horizontal="right"/>
    </xf>
    <xf numFmtId="0" fontId="5" fillId="0" borderId="0" xfId="0" applyFont="1" applyBorder="1"/>
    <xf numFmtId="0" fontId="27" fillId="0" borderId="6" xfId="0" applyFont="1" applyBorder="1"/>
    <xf numFmtId="0" fontId="74" fillId="2" borderId="0" xfId="0" applyFont="1" applyFill="1" applyBorder="1" applyAlignment="1">
      <alignment horizontal="center"/>
    </xf>
    <xf numFmtId="0" fontId="75" fillId="2" borderId="0" xfId="0" applyFont="1" applyFill="1" applyBorder="1" applyAlignment="1">
      <alignment horizontal="center"/>
    </xf>
    <xf numFmtId="0" fontId="31" fillId="0" borderId="0" xfId="0" applyFont="1" applyBorder="1" applyAlignment="1">
      <alignment horizontal="center"/>
    </xf>
    <xf numFmtId="0" fontId="31" fillId="0" borderId="4" xfId="0" applyFont="1" applyBorder="1" applyAlignment="1">
      <alignment horizontal="right"/>
    </xf>
    <xf numFmtId="165" fontId="0" fillId="0" borderId="0" xfId="0" applyNumberFormat="1" applyFont="1" applyAlignment="1">
      <alignment horizontal="center"/>
    </xf>
    <xf numFmtId="0" fontId="77" fillId="0" borderId="0" xfId="0" applyFont="1" applyAlignment="1">
      <alignment horizontal="right"/>
    </xf>
    <xf numFmtId="0" fontId="77" fillId="0" borderId="0" xfId="0" applyFont="1"/>
    <xf numFmtId="0" fontId="76" fillId="0" borderId="0" xfId="0" applyFont="1" applyAlignment="1">
      <alignment horizontal="center"/>
    </xf>
    <xf numFmtId="14" fontId="7" fillId="0" borderId="0" xfId="33" applyNumberFormat="1" applyAlignment="1">
      <alignment horizontal="right"/>
    </xf>
    <xf numFmtId="0" fontId="7" fillId="0" borderId="0" xfId="33" applyAlignment="1">
      <alignment horizontal="center"/>
    </xf>
    <xf numFmtId="192" fontId="78" fillId="0" borderId="0" xfId="33" applyNumberFormat="1" applyFont="1" applyAlignment="1">
      <alignment horizontal="center"/>
    </xf>
    <xf numFmtId="0" fontId="78" fillId="0" borderId="0" xfId="33" applyFont="1"/>
    <xf numFmtId="0" fontId="7" fillId="0" borderId="0" xfId="33"/>
    <xf numFmtId="0" fontId="78" fillId="0" borderId="0" xfId="33" applyFont="1" applyAlignment="1">
      <alignment horizontal="center"/>
    </xf>
    <xf numFmtId="0" fontId="7" fillId="0" borderId="0" xfId="33" applyAlignment="1">
      <alignment horizontal="right"/>
    </xf>
    <xf numFmtId="192" fontId="79" fillId="0" borderId="0" xfId="33" applyNumberFormat="1" applyFont="1" applyAlignment="1">
      <alignment horizontal="center"/>
    </xf>
    <xf numFmtId="9" fontId="79" fillId="0" borderId="0" xfId="1" applyFont="1" applyAlignment="1">
      <alignment horizontal="center"/>
    </xf>
    <xf numFmtId="0" fontId="7" fillId="0" borderId="0" xfId="33" applyFont="1" applyAlignment="1">
      <alignment horizontal="right"/>
    </xf>
    <xf numFmtId="10" fontId="7" fillId="0" borderId="0" xfId="33" applyNumberFormat="1" applyFont="1" applyAlignment="1">
      <alignment horizontal="center"/>
    </xf>
    <xf numFmtId="1" fontId="78" fillId="0" borderId="0" xfId="33" applyNumberFormat="1" applyFont="1" applyAlignment="1">
      <alignment horizontal="center"/>
    </xf>
    <xf numFmtId="1" fontId="7" fillId="0" borderId="0" xfId="33" applyNumberFormat="1" applyAlignment="1">
      <alignment horizontal="center"/>
    </xf>
    <xf numFmtId="166" fontId="7" fillId="0" borderId="0" xfId="3" applyFont="1" applyAlignment="1">
      <alignment horizontal="right"/>
    </xf>
    <xf numFmtId="166" fontId="79" fillId="0" borderId="0" xfId="3" applyFont="1" applyAlignment="1">
      <alignment horizontal="center"/>
    </xf>
    <xf numFmtId="166" fontId="78" fillId="0" borderId="0" xfId="3" applyFont="1" applyAlignment="1">
      <alignment horizontal="center"/>
    </xf>
    <xf numFmtId="166" fontId="7" fillId="0" borderId="0" xfId="3" applyAlignment="1">
      <alignment horizontal="center"/>
    </xf>
    <xf numFmtId="166" fontId="7" fillId="0" borderId="0" xfId="3"/>
    <xf numFmtId="0" fontId="79" fillId="0" borderId="0" xfId="33" applyFont="1" applyAlignment="1">
      <alignment horizontal="center"/>
    </xf>
    <xf numFmtId="192" fontId="7" fillId="0" borderId="0" xfId="33" applyNumberFormat="1" applyAlignment="1">
      <alignment horizontal="center"/>
    </xf>
    <xf numFmtId="166" fontId="78" fillId="0" borderId="0" xfId="3" applyFont="1" applyAlignment="1">
      <alignment horizontal="right"/>
    </xf>
    <xf numFmtId="166" fontId="7" fillId="0" borderId="0" xfId="3" applyAlignment="1">
      <alignment horizontal="right"/>
    </xf>
    <xf numFmtId="193" fontId="78" fillId="0" borderId="0" xfId="33" applyNumberFormat="1" applyFont="1" applyAlignment="1">
      <alignment horizontal="center"/>
    </xf>
    <xf numFmtId="166" fontId="80" fillId="0" borderId="0" xfId="3" applyFont="1" applyFill="1" applyAlignment="1">
      <alignment horizontal="center"/>
    </xf>
    <xf numFmtId="166" fontId="78" fillId="0" borderId="0" xfId="3" applyFont="1"/>
    <xf numFmtId="10" fontId="78" fillId="0" borderId="0" xfId="33" applyNumberFormat="1" applyFont="1" applyAlignment="1">
      <alignment horizontal="center"/>
    </xf>
    <xf numFmtId="0" fontId="7" fillId="0" borderId="0" xfId="33" applyAlignment="1">
      <alignment horizontal="left"/>
    </xf>
    <xf numFmtId="194" fontId="7" fillId="0" borderId="0" xfId="33" applyNumberFormat="1" applyAlignment="1">
      <alignment horizontal="center"/>
    </xf>
    <xf numFmtId="192" fontId="78" fillId="3" borderId="0" xfId="33" applyNumberFormat="1" applyFont="1" applyFill="1" applyAlignment="1">
      <alignment horizontal="center"/>
    </xf>
    <xf numFmtId="0" fontId="7" fillId="3" borderId="0" xfId="33" applyFill="1" applyAlignment="1">
      <alignment horizontal="center"/>
    </xf>
    <xf numFmtId="0" fontId="78" fillId="3" borderId="0" xfId="33" applyFont="1" applyFill="1" applyAlignment="1">
      <alignment horizontal="center"/>
    </xf>
    <xf numFmtId="9" fontId="0" fillId="20" borderId="0" xfId="0" applyNumberFormat="1" applyFill="1" applyAlignment="1">
      <alignment horizontal="center"/>
    </xf>
    <xf numFmtId="179" fontId="5" fillId="20" borderId="0" xfId="27" applyNumberFormat="1" applyFill="1"/>
    <xf numFmtId="0" fontId="0" fillId="3" borderId="15" xfId="0" applyFill="1" applyBorder="1" applyAlignment="1">
      <alignment horizontal="right"/>
    </xf>
    <xf numFmtId="179" fontId="5" fillId="3" borderId="15" xfId="27" applyNumberFormat="1" applyFill="1" applyBorder="1"/>
    <xf numFmtId="0" fontId="7" fillId="3" borderId="0" xfId="33" applyFill="1" applyAlignment="1">
      <alignment horizontal="right"/>
    </xf>
    <xf numFmtId="0" fontId="7" fillId="3" borderId="0" xfId="33" applyFill="1"/>
    <xf numFmtId="0" fontId="78" fillId="3" borderId="0" xfId="33" applyFont="1" applyFill="1"/>
    <xf numFmtId="0" fontId="7" fillId="3" borderId="0" xfId="33" applyFill="1" applyAlignment="1">
      <alignment horizontal="left"/>
    </xf>
    <xf numFmtId="14" fontId="0" fillId="3" borderId="0" xfId="0" applyNumberFormat="1" applyFill="1"/>
    <xf numFmtId="194" fontId="0" fillId="3" borderId="0" xfId="0" applyNumberFormat="1" applyFill="1"/>
    <xf numFmtId="182" fontId="0" fillId="20" borderId="0" xfId="26" applyNumberFormat="1" applyFont="1" applyFill="1" applyAlignment="1">
      <alignment horizontal="right"/>
    </xf>
    <xf numFmtId="14" fontId="7" fillId="20" borderId="0" xfId="33" applyNumberFormat="1" applyFill="1"/>
    <xf numFmtId="2" fontId="0" fillId="20" borderId="0" xfId="0" applyNumberFormat="1" applyFill="1"/>
    <xf numFmtId="4" fontId="0" fillId="20" borderId="0" xfId="0" applyNumberFormat="1" applyFill="1"/>
    <xf numFmtId="195" fontId="0" fillId="20" borderId="0" xfId="26" applyNumberFormat="1" applyFont="1" applyFill="1" applyAlignment="1">
      <alignment horizontal="right"/>
    </xf>
    <xf numFmtId="4" fontId="0" fillId="3" borderId="0" xfId="0" applyNumberFormat="1" applyFill="1"/>
    <xf numFmtId="164" fontId="0" fillId="3" borderId="0" xfId="0" applyNumberFormat="1" applyFill="1"/>
    <xf numFmtId="169" fontId="0" fillId="0" borderId="0" xfId="0" applyNumberFormat="1" applyFill="1" applyAlignment="1">
      <alignment horizontal="center"/>
    </xf>
    <xf numFmtId="169" fontId="0" fillId="3" borderId="0" xfId="0" applyNumberFormat="1" applyFill="1"/>
    <xf numFmtId="182" fontId="0" fillId="3" borderId="0" xfId="0" applyNumberFormat="1" applyFill="1"/>
    <xf numFmtId="164" fontId="78" fillId="3" borderId="0" xfId="33" applyNumberFormat="1" applyFont="1" applyFill="1" applyAlignment="1">
      <alignment horizontal="right"/>
    </xf>
    <xf numFmtId="0" fontId="81" fillId="0" borderId="0" xfId="0" applyFont="1"/>
    <xf numFmtId="10" fontId="0" fillId="20" borderId="0" xfId="0" applyNumberFormat="1" applyFill="1"/>
    <xf numFmtId="10" fontId="0" fillId="3" borderId="0" xfId="0" applyNumberFormat="1" applyFill="1"/>
    <xf numFmtId="165" fontId="0" fillId="3" borderId="0" xfId="0" applyNumberFormat="1" applyFill="1"/>
    <xf numFmtId="10" fontId="0" fillId="3" borderId="0" xfId="1" applyNumberFormat="1" applyFont="1" applyFill="1"/>
    <xf numFmtId="196" fontId="0" fillId="3" borderId="0" xfId="26" applyNumberFormat="1" applyFont="1" applyFill="1" applyAlignment="1">
      <alignment horizontal="right"/>
    </xf>
    <xf numFmtId="8" fontId="0" fillId="3" borderId="0" xfId="0" applyNumberFormat="1" applyFill="1"/>
    <xf numFmtId="182" fontId="0" fillId="3" borderId="0" xfId="26" applyNumberFormat="1" applyFont="1" applyFill="1" applyAlignment="1">
      <alignment horizontal="right"/>
    </xf>
    <xf numFmtId="197" fontId="0" fillId="3" borderId="0" xfId="26" applyNumberFormat="1" applyFont="1" applyFill="1" applyAlignment="1">
      <alignment horizontal="right"/>
    </xf>
    <xf numFmtId="182" fontId="6" fillId="3" borderId="0" xfId="26" applyNumberFormat="1" applyFont="1" applyFill="1" applyAlignment="1">
      <alignment horizontal="right"/>
    </xf>
    <xf numFmtId="182" fontId="0" fillId="3" borderId="0" xfId="26" applyNumberFormat="1" applyFont="1" applyFill="1" applyAlignment="1">
      <alignment horizontal="left"/>
    </xf>
    <xf numFmtId="182" fontId="30" fillId="3" borderId="0" xfId="26" applyNumberFormat="1" applyFont="1" applyFill="1" applyAlignment="1">
      <alignment horizontal="left"/>
    </xf>
    <xf numFmtId="1" fontId="78" fillId="3" borderId="0" xfId="33" applyNumberFormat="1" applyFont="1" applyFill="1" applyAlignment="1">
      <alignment horizontal="center"/>
    </xf>
    <xf numFmtId="166" fontId="78" fillId="3" borderId="0" xfId="3" applyFont="1" applyFill="1" applyAlignment="1">
      <alignment horizontal="center"/>
    </xf>
    <xf numFmtId="166" fontId="78" fillId="3" borderId="0" xfId="3" applyFont="1" applyFill="1" applyAlignment="1">
      <alignment horizontal="right"/>
    </xf>
    <xf numFmtId="193" fontId="78" fillId="3" borderId="0" xfId="33" applyNumberFormat="1" applyFont="1" applyFill="1" applyAlignment="1">
      <alignment horizontal="center"/>
    </xf>
    <xf numFmtId="166" fontId="78" fillId="3" borderId="0" xfId="3" applyFont="1" applyFill="1"/>
    <xf numFmtId="0" fontId="82" fillId="3" borderId="0" xfId="33" applyFont="1" applyFill="1"/>
    <xf numFmtId="0" fontId="83" fillId="3" borderId="0" xfId="0" applyFont="1" applyFill="1" applyAlignment="1">
      <alignment horizontal="left" vertical="center" readingOrder="1"/>
    </xf>
    <xf numFmtId="0" fontId="84" fillId="3" borderId="0" xfId="33" applyFont="1" applyFill="1" applyAlignment="1">
      <alignment horizontal="center"/>
    </xf>
    <xf numFmtId="167" fontId="5" fillId="6" borderId="0" xfId="5" applyFont="1" applyFill="1" applyAlignment="1">
      <alignment horizontal="center"/>
    </xf>
    <xf numFmtId="49" fontId="5" fillId="6" borderId="0" xfId="5" applyNumberFormat="1" applyFont="1" applyFill="1" applyAlignment="1">
      <alignment horizontal="center"/>
    </xf>
    <xf numFmtId="0" fontId="5" fillId="6" borderId="0" xfId="0" applyFont="1" applyFill="1" applyAlignment="1">
      <alignment horizontal="center"/>
    </xf>
    <xf numFmtId="0" fontId="0" fillId="3" borderId="15" xfId="0" applyFill="1" applyBorder="1" applyAlignment="1">
      <alignment horizontal="center"/>
    </xf>
    <xf numFmtId="10" fontId="5" fillId="3" borderId="15" xfId="1" applyNumberFormat="1" applyFont="1" applyFill="1" applyBorder="1" applyAlignment="1">
      <alignment horizontal="center"/>
    </xf>
    <xf numFmtId="9" fontId="5" fillId="3" borderId="15" xfId="1" applyFill="1" applyBorder="1" applyAlignment="1">
      <alignment horizontal="center"/>
    </xf>
    <xf numFmtId="184" fontId="5" fillId="3" borderId="15" xfId="27" applyFill="1" applyBorder="1" applyAlignment="1">
      <alignment horizontal="center"/>
    </xf>
    <xf numFmtId="176" fontId="5" fillId="3" borderId="15" xfId="1" applyNumberFormat="1" applyFill="1" applyBorder="1" applyAlignment="1">
      <alignment horizontal="center"/>
    </xf>
    <xf numFmtId="0" fontId="0" fillId="20" borderId="15" xfId="0" applyFill="1" applyBorder="1" applyAlignment="1">
      <alignment horizontal="center"/>
    </xf>
    <xf numFmtId="44" fontId="0" fillId="3" borderId="0" xfId="25" applyFont="1" applyFill="1" applyAlignment="1">
      <alignment horizontal="center"/>
    </xf>
    <xf numFmtId="44" fontId="0" fillId="3" borderId="15" xfId="25" applyFont="1" applyFill="1" applyBorder="1" applyAlignment="1">
      <alignment horizontal="center"/>
    </xf>
    <xf numFmtId="169" fontId="5" fillId="3" borderId="15" xfId="27" applyNumberFormat="1" applyFill="1" applyBorder="1" applyAlignment="1">
      <alignment horizontal="right"/>
    </xf>
    <xf numFmtId="169" fontId="5" fillId="3" borderId="15" xfId="27" applyNumberFormat="1" applyFill="1" applyBorder="1" applyAlignment="1">
      <alignment horizontal="center"/>
    </xf>
    <xf numFmtId="184" fontId="5" fillId="3" borderId="0" xfId="27" applyFill="1" applyAlignment="1">
      <alignment horizontal="left"/>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14" fontId="0" fillId="3" borderId="0" xfId="0" applyNumberFormat="1" applyFill="1" applyBorder="1"/>
    <xf numFmtId="9" fontId="6" fillId="2" borderId="15" xfId="0" applyNumberFormat="1" applyFont="1" applyFill="1" applyBorder="1" applyAlignment="1">
      <alignment horizontal="center"/>
    </xf>
    <xf numFmtId="0" fontId="27" fillId="2" borderId="10" xfId="0" applyFont="1" applyFill="1" applyBorder="1"/>
    <xf numFmtId="0" fontId="0" fillId="2" borderId="20" xfId="0" applyFill="1" applyBorder="1" applyAlignment="1">
      <alignment horizontal="center"/>
    </xf>
    <xf numFmtId="184" fontId="5" fillId="2" borderId="0" xfId="27" applyFill="1" applyBorder="1"/>
    <xf numFmtId="184" fontId="5" fillId="2" borderId="0" xfId="27" applyFill="1" applyBorder="1" applyAlignment="1">
      <alignment horizontal="center"/>
    </xf>
    <xf numFmtId="184" fontId="0" fillId="2" borderId="0" xfId="0" applyNumberFormat="1" applyFill="1" applyBorder="1"/>
    <xf numFmtId="184" fontId="5" fillId="2" borderId="22" xfId="27" applyFill="1" applyBorder="1"/>
    <xf numFmtId="9" fontId="0" fillId="2" borderId="0" xfId="0" applyNumberFormat="1" applyFill="1" applyBorder="1" applyAlignment="1">
      <alignment horizontal="center"/>
    </xf>
    <xf numFmtId="44" fontId="5" fillId="2" borderId="0" xfId="25" applyFill="1" applyBorder="1" applyAlignment="1">
      <alignment horizontal="center"/>
    </xf>
    <xf numFmtId="44" fontId="5" fillId="2" borderId="0" xfId="25" applyFill="1" applyBorder="1"/>
    <xf numFmtId="44" fontId="0" fillId="2" borderId="0" xfId="25" applyFont="1" applyFill="1" applyBorder="1"/>
    <xf numFmtId="44" fontId="6" fillId="2" borderId="0" xfId="25" applyFont="1" applyFill="1" applyBorder="1"/>
    <xf numFmtId="44" fontId="6" fillId="2" borderId="0" xfId="25" applyFont="1" applyFill="1" applyBorder="1" applyAlignment="1">
      <alignment horizontal="right"/>
    </xf>
    <xf numFmtId="44" fontId="0" fillId="3" borderId="0" xfId="25" applyFont="1" applyFill="1" applyBorder="1"/>
    <xf numFmtId="0" fontId="30" fillId="3" borderId="0" xfId="0" applyFont="1" applyFill="1" applyBorder="1"/>
    <xf numFmtId="0" fontId="30" fillId="4" borderId="0" xfId="0" applyFont="1" applyFill="1" applyBorder="1"/>
    <xf numFmtId="44" fontId="0" fillId="4" borderId="0" xfId="25" applyFont="1" applyFill="1" applyBorder="1"/>
    <xf numFmtId="0" fontId="0" fillId="15" borderId="15" xfId="0" applyFill="1" applyBorder="1" applyAlignment="1">
      <alignment horizontal="center"/>
    </xf>
    <xf numFmtId="0" fontId="30" fillId="3" borderId="15" xfId="0" applyFont="1" applyFill="1" applyBorder="1" applyAlignment="1">
      <alignment horizontal="left"/>
    </xf>
    <xf numFmtId="44" fontId="5" fillId="3" borderId="15" xfId="25" applyFill="1" applyBorder="1"/>
    <xf numFmtId="0" fontId="30" fillId="20" borderId="15" xfId="0" applyFont="1" applyFill="1" applyBorder="1" applyAlignment="1">
      <alignment horizontal="left"/>
    </xf>
    <xf numFmtId="44" fontId="5" fillId="20" borderId="15" xfId="25" applyFill="1" applyBorder="1"/>
    <xf numFmtId="44" fontId="0" fillId="20" borderId="15" xfId="25" applyFont="1" applyFill="1" applyBorder="1"/>
    <xf numFmtId="0" fontId="0" fillId="2" borderId="15" xfId="0" applyFill="1" applyBorder="1" applyAlignment="1">
      <alignment horizontal="left"/>
    </xf>
    <xf numFmtId="44" fontId="5" fillId="2" borderId="15" xfId="25" applyFill="1" applyBorder="1" applyAlignment="1">
      <alignment horizontal="center"/>
    </xf>
    <xf numFmtId="0" fontId="0" fillId="15" borderId="15" xfId="0" applyFill="1" applyBorder="1" applyAlignment="1">
      <alignment horizontal="left"/>
    </xf>
    <xf numFmtId="44" fontId="5" fillId="15" borderId="15" xfId="25" applyFill="1" applyBorder="1" applyAlignment="1">
      <alignment horizontal="center"/>
    </xf>
    <xf numFmtId="14" fontId="0" fillId="2" borderId="10" xfId="0" applyNumberFormat="1" applyFill="1" applyBorder="1"/>
    <xf numFmtId="0" fontId="0" fillId="4" borderId="0" xfId="0" applyFill="1" applyBorder="1"/>
    <xf numFmtId="0" fontId="30" fillId="3" borderId="15" xfId="0" applyFont="1" applyFill="1" applyBorder="1" applyAlignment="1">
      <alignment horizontal="center"/>
    </xf>
    <xf numFmtId="0" fontId="2" fillId="0" borderId="0" xfId="34"/>
    <xf numFmtId="0" fontId="2" fillId="3" borderId="0" xfId="34" applyFill="1"/>
    <xf numFmtId="0" fontId="85" fillId="3" borderId="0" xfId="34" applyFont="1" applyFill="1"/>
    <xf numFmtId="2" fontId="2" fillId="3" borderId="0" xfId="34" applyNumberFormat="1" applyFill="1"/>
    <xf numFmtId="2" fontId="85" fillId="3" borderId="0" xfId="34" applyNumberFormat="1" applyFont="1" applyFill="1"/>
    <xf numFmtId="0" fontId="2" fillId="3" borderId="0" xfId="34" applyFill="1" applyAlignment="1">
      <alignment horizontal="center"/>
    </xf>
    <xf numFmtId="0" fontId="0" fillId="20" borderId="0" xfId="0" applyFill="1" applyAlignment="1" applyProtection="1">
      <alignment horizontal="center"/>
      <protection locked="0"/>
    </xf>
    <xf numFmtId="0" fontId="60" fillId="6" borderId="16" xfId="32" applyFill="1" applyBorder="1"/>
    <xf numFmtId="0" fontId="60" fillId="6" borderId="17" xfId="32" applyFill="1" applyBorder="1"/>
    <xf numFmtId="0" fontId="60" fillId="6" borderId="18" xfId="32" applyFill="1" applyBorder="1"/>
    <xf numFmtId="0" fontId="60" fillId="6" borderId="19" xfId="32" applyFill="1" applyBorder="1"/>
    <xf numFmtId="0" fontId="60" fillId="6" borderId="20" xfId="32" applyFill="1" applyBorder="1"/>
    <xf numFmtId="0" fontId="60" fillId="6" borderId="21" xfId="32" applyFill="1" applyBorder="1"/>
    <xf numFmtId="0" fontId="60" fillId="6" borderId="22" xfId="32" applyFill="1" applyBorder="1"/>
    <xf numFmtId="0" fontId="60" fillId="6" borderId="23" xfId="32" applyFill="1" applyBorder="1"/>
    <xf numFmtId="0" fontId="60" fillId="0" borderId="16" xfId="32" applyBorder="1"/>
    <xf numFmtId="0" fontId="60" fillId="0" borderId="17" xfId="32" applyBorder="1"/>
    <xf numFmtId="0" fontId="60" fillId="0" borderId="18" xfId="32" applyBorder="1"/>
    <xf numFmtId="0" fontId="60" fillId="0" borderId="19" xfId="32" applyBorder="1"/>
    <xf numFmtId="0" fontId="60" fillId="19" borderId="0" xfId="32" applyFill="1" applyBorder="1"/>
    <xf numFmtId="0" fontId="60" fillId="0" borderId="20" xfId="32" applyBorder="1"/>
    <xf numFmtId="0" fontId="60" fillId="0" borderId="21" xfId="32" applyBorder="1"/>
    <xf numFmtId="0" fontId="60" fillId="0" borderId="22" xfId="32" applyBorder="1"/>
    <xf numFmtId="0" fontId="60" fillId="19" borderId="22" xfId="32" applyFill="1" applyBorder="1"/>
    <xf numFmtId="0" fontId="60" fillId="0" borderId="23" xfId="32" applyBorder="1"/>
    <xf numFmtId="13" fontId="60" fillId="0" borderId="17" xfId="32" applyNumberFormat="1" applyBorder="1"/>
    <xf numFmtId="0" fontId="60" fillId="0" borderId="22" xfId="32" applyBorder="1" applyAlignment="1">
      <alignment horizontal="right"/>
    </xf>
    <xf numFmtId="2" fontId="60" fillId="0" borderId="38" xfId="32" applyNumberFormat="1" applyBorder="1" applyAlignment="1">
      <alignment horizontal="left"/>
    </xf>
    <xf numFmtId="13" fontId="60" fillId="0" borderId="0" xfId="32" applyNumberFormat="1"/>
    <xf numFmtId="2" fontId="60" fillId="0" borderId="17" xfId="32" applyNumberFormat="1" applyBorder="1" applyAlignment="1">
      <alignment horizontal="right"/>
    </xf>
    <xf numFmtId="2" fontId="60" fillId="0" borderId="22" xfId="32" applyNumberFormat="1" applyBorder="1"/>
    <xf numFmtId="0" fontId="60" fillId="0" borderId="34" xfId="32" applyBorder="1"/>
    <xf numFmtId="0" fontId="60" fillId="0" borderId="35" xfId="32" applyBorder="1"/>
    <xf numFmtId="2" fontId="5" fillId="11" borderId="35" xfId="32" applyNumberFormat="1" applyFont="1" applyFill="1" applyBorder="1"/>
    <xf numFmtId="0" fontId="60" fillId="0" borderId="39" xfId="32" applyBorder="1"/>
    <xf numFmtId="0" fontId="60" fillId="22" borderId="0" xfId="32" applyFill="1"/>
    <xf numFmtId="186" fontId="60" fillId="0" borderId="0" xfId="32" applyNumberFormat="1"/>
    <xf numFmtId="0" fontId="27" fillId="0" borderId="0" xfId="32" applyFont="1"/>
    <xf numFmtId="13" fontId="60" fillId="0" borderId="17" xfId="32" applyNumberFormat="1" applyBorder="1" applyAlignment="1">
      <alignment horizontal="right"/>
    </xf>
    <xf numFmtId="20" fontId="60" fillId="0" borderId="0" xfId="32" applyNumberFormat="1"/>
    <xf numFmtId="2" fontId="60" fillId="0" borderId="22" xfId="32" applyNumberFormat="1" applyBorder="1" applyAlignment="1">
      <alignment horizontal="right"/>
    </xf>
    <xf numFmtId="2" fontId="60" fillId="11" borderId="17" xfId="32" applyNumberFormat="1" applyFill="1" applyBorder="1" applyAlignment="1">
      <alignment horizontal="right"/>
    </xf>
    <xf numFmtId="2" fontId="60" fillId="11" borderId="22" xfId="32" applyNumberFormat="1" applyFill="1" applyBorder="1" applyAlignment="1">
      <alignment horizontal="right"/>
    </xf>
    <xf numFmtId="0" fontId="60" fillId="13" borderId="0" xfId="32" applyFill="1"/>
    <xf numFmtId="13" fontId="60" fillId="0" borderId="22" xfId="32" applyNumberFormat="1" applyBorder="1" applyAlignment="1">
      <alignment horizontal="left"/>
    </xf>
    <xf numFmtId="2" fontId="60" fillId="11" borderId="17" xfId="32" applyNumberFormat="1" applyFill="1" applyBorder="1"/>
    <xf numFmtId="2" fontId="60" fillId="11" borderId="22" xfId="32" applyNumberFormat="1" applyFill="1" applyBorder="1"/>
    <xf numFmtId="0" fontId="5" fillId="22" borderId="0" xfId="32" applyFont="1" applyFill="1"/>
    <xf numFmtId="0" fontId="5" fillId="0" borderId="0" xfId="32" applyFont="1" applyAlignment="1">
      <alignment horizontal="right"/>
    </xf>
    <xf numFmtId="0" fontId="5" fillId="0" borderId="0" xfId="32" applyFont="1"/>
    <xf numFmtId="0" fontId="60" fillId="6" borderId="34" xfId="32" applyFill="1" applyBorder="1"/>
    <xf numFmtId="0" fontId="60" fillId="6" borderId="39" xfId="32" applyFill="1" applyBorder="1"/>
    <xf numFmtId="0" fontId="60" fillId="0" borderId="32" xfId="32" applyBorder="1"/>
    <xf numFmtId="2" fontId="60" fillId="11" borderId="32" xfId="32" applyNumberFormat="1" applyFill="1" applyBorder="1"/>
    <xf numFmtId="0" fontId="60" fillId="0" borderId="36" xfId="32" applyBorder="1"/>
    <xf numFmtId="2" fontId="60" fillId="11" borderId="0" xfId="32" applyNumberFormat="1" applyFill="1" applyBorder="1"/>
    <xf numFmtId="2" fontId="60" fillId="11" borderId="36" xfId="32" applyNumberFormat="1" applyFill="1" applyBorder="1"/>
    <xf numFmtId="0" fontId="60" fillId="11" borderId="0" xfId="32" applyFill="1" applyBorder="1"/>
    <xf numFmtId="0" fontId="60" fillId="11" borderId="36" xfId="32" applyFill="1" applyBorder="1"/>
    <xf numFmtId="0" fontId="60" fillId="0" borderId="33" xfId="32" applyBorder="1"/>
    <xf numFmtId="2" fontId="60" fillId="11" borderId="33" xfId="32" applyNumberFormat="1" applyFill="1" applyBorder="1"/>
    <xf numFmtId="13" fontId="60" fillId="0" borderId="16" xfId="32" applyNumberFormat="1" applyBorder="1"/>
    <xf numFmtId="2" fontId="60" fillId="0" borderId="19" xfId="32" applyNumberFormat="1" applyBorder="1"/>
    <xf numFmtId="2" fontId="60" fillId="0" borderId="0" xfId="32" applyNumberFormat="1" applyBorder="1"/>
    <xf numFmtId="2" fontId="60" fillId="0" borderId="21" xfId="32" applyNumberFormat="1" applyBorder="1"/>
    <xf numFmtId="12" fontId="60" fillId="0" borderId="19" xfId="32" applyNumberFormat="1" applyBorder="1"/>
    <xf numFmtId="12" fontId="60" fillId="0" borderId="0" xfId="32" applyNumberFormat="1" applyBorder="1"/>
    <xf numFmtId="13" fontId="60" fillId="0" borderId="19" xfId="32" applyNumberFormat="1" applyBorder="1"/>
    <xf numFmtId="0" fontId="60" fillId="0" borderId="20" xfId="32" applyNumberFormat="1" applyBorder="1"/>
    <xf numFmtId="2" fontId="60" fillId="0" borderId="23" xfId="32" applyNumberFormat="1" applyBorder="1"/>
    <xf numFmtId="12" fontId="60" fillId="0" borderId="17" xfId="32" applyNumberFormat="1" applyBorder="1"/>
    <xf numFmtId="2" fontId="60" fillId="11" borderId="35" xfId="32" applyNumberFormat="1" applyFill="1" applyBorder="1"/>
    <xf numFmtId="1" fontId="60" fillId="11" borderId="35" xfId="32" applyNumberFormat="1" applyFill="1" applyBorder="1"/>
    <xf numFmtId="0" fontId="60" fillId="0" borderId="0" xfId="32" applyFill="1"/>
    <xf numFmtId="0" fontId="60" fillId="0" borderId="0" xfId="32" applyFill="1" applyAlignment="1">
      <alignment horizontal="right"/>
    </xf>
    <xf numFmtId="1" fontId="60" fillId="0" borderId="22" xfId="32" applyNumberFormat="1" applyBorder="1"/>
    <xf numFmtId="1" fontId="60" fillId="11" borderId="17" xfId="32" applyNumberFormat="1" applyFill="1" applyBorder="1"/>
    <xf numFmtId="0" fontId="60" fillId="11" borderId="22" xfId="32" applyFill="1" applyBorder="1"/>
    <xf numFmtId="0" fontId="28" fillId="0" borderId="0" xfId="32" applyFont="1" applyAlignment="1">
      <alignment horizontal="right"/>
    </xf>
    <xf numFmtId="170" fontId="60" fillId="0" borderId="22" xfId="32" applyNumberFormat="1" applyBorder="1"/>
    <xf numFmtId="2" fontId="60" fillId="0" borderId="35" xfId="32" applyNumberFormat="1" applyBorder="1"/>
    <xf numFmtId="0" fontId="60" fillId="11" borderId="35" xfId="32" applyFill="1" applyBorder="1"/>
    <xf numFmtId="0" fontId="30" fillId="0" borderId="0" xfId="32" applyFont="1" applyAlignment="1">
      <alignment horizontal="right"/>
    </xf>
    <xf numFmtId="0" fontId="60" fillId="0" borderId="40" xfId="32" applyBorder="1"/>
    <xf numFmtId="0" fontId="60" fillId="0" borderId="41" xfId="32" applyBorder="1"/>
    <xf numFmtId="0" fontId="60" fillId="19" borderId="41" xfId="32" applyFill="1" applyBorder="1"/>
    <xf numFmtId="0" fontId="60" fillId="0" borderId="42" xfId="32" applyBorder="1"/>
    <xf numFmtId="0" fontId="60" fillId="0" borderId="22" xfId="32" applyFill="1" applyBorder="1"/>
    <xf numFmtId="186" fontId="60" fillId="0" borderId="17" xfId="32" applyNumberFormat="1" applyBorder="1"/>
    <xf numFmtId="0" fontId="60" fillId="11" borderId="23" xfId="32" applyFill="1" applyBorder="1"/>
    <xf numFmtId="12" fontId="60" fillId="0" borderId="18" xfId="32" applyNumberFormat="1" applyBorder="1"/>
    <xf numFmtId="1" fontId="60" fillId="0" borderId="0" xfId="32" applyNumberFormat="1" applyBorder="1"/>
    <xf numFmtId="1" fontId="60" fillId="0" borderId="20" xfId="32" applyNumberFormat="1" applyBorder="1"/>
    <xf numFmtId="2" fontId="60" fillId="0" borderId="20" xfId="32" applyNumberFormat="1" applyBorder="1"/>
    <xf numFmtId="0" fontId="60" fillId="19" borderId="17" xfId="32" applyFill="1" applyBorder="1" applyAlignment="1">
      <alignment horizontal="right"/>
    </xf>
    <xf numFmtId="0" fontId="60" fillId="19" borderId="0" xfId="32" applyFill="1" applyBorder="1" applyAlignment="1">
      <alignment horizontal="right"/>
    </xf>
    <xf numFmtId="0" fontId="60" fillId="0" borderId="21" xfId="32" applyFill="1" applyBorder="1"/>
    <xf numFmtId="0" fontId="60" fillId="19" borderId="22" xfId="32" applyFill="1" applyBorder="1" applyAlignment="1">
      <alignment horizontal="right"/>
    </xf>
    <xf numFmtId="0" fontId="60" fillId="0" borderId="17" xfId="32" applyBorder="1" applyAlignment="1">
      <alignment horizontal="right"/>
    </xf>
    <xf numFmtId="0" fontId="60" fillId="0" borderId="0" xfId="32" applyBorder="1" applyAlignment="1">
      <alignment horizontal="right"/>
    </xf>
    <xf numFmtId="0" fontId="60" fillId="11" borderId="22" xfId="32" applyFill="1" applyBorder="1" applyAlignment="1">
      <alignment horizontal="right"/>
    </xf>
    <xf numFmtId="0" fontId="60" fillId="11" borderId="22" xfId="32" applyFill="1" applyBorder="1" applyAlignment="1">
      <alignment horizontal="center"/>
    </xf>
    <xf numFmtId="13" fontId="60" fillId="0" borderId="17" xfId="32" applyNumberFormat="1" applyBorder="1" applyAlignment="1">
      <alignment horizontal="center"/>
    </xf>
    <xf numFmtId="13" fontId="60" fillId="0" borderId="0" xfId="32" applyNumberFormat="1" applyBorder="1" applyAlignment="1">
      <alignment horizontal="right"/>
    </xf>
    <xf numFmtId="2" fontId="60" fillId="0" borderId="0" xfId="32" applyNumberFormat="1" applyBorder="1" applyAlignment="1">
      <alignment horizontal="right"/>
    </xf>
    <xf numFmtId="2" fontId="60" fillId="0" borderId="17" xfId="32" applyNumberFormat="1" applyFill="1" applyBorder="1" applyAlignment="1">
      <alignment horizontal="right"/>
    </xf>
    <xf numFmtId="0" fontId="60" fillId="13" borderId="15" xfId="32" applyFill="1" applyBorder="1"/>
    <xf numFmtId="13" fontId="60" fillId="0" borderId="22" xfId="32" applyNumberFormat="1" applyBorder="1"/>
    <xf numFmtId="12" fontId="60" fillId="19" borderId="22" xfId="32" applyNumberFormat="1" applyFill="1" applyBorder="1"/>
    <xf numFmtId="1" fontId="60" fillId="0" borderId="17" xfId="32" applyNumberFormat="1" applyBorder="1"/>
    <xf numFmtId="12" fontId="60" fillId="0" borderId="0" xfId="32" applyNumberFormat="1"/>
    <xf numFmtId="0" fontId="60" fillId="0" borderId="34" xfId="32" applyFill="1" applyBorder="1"/>
    <xf numFmtId="0" fontId="60" fillId="0" borderId="35" xfId="32" applyFill="1" applyBorder="1"/>
    <xf numFmtId="0" fontId="60" fillId="0" borderId="39" xfId="32" applyFill="1" applyBorder="1"/>
    <xf numFmtId="0" fontId="60" fillId="0" borderId="19" xfId="32" applyFill="1" applyBorder="1"/>
    <xf numFmtId="13" fontId="60" fillId="19" borderId="0" xfId="32" applyNumberFormat="1" applyFill="1" applyBorder="1"/>
    <xf numFmtId="13" fontId="60" fillId="0" borderId="35" xfId="32" applyNumberFormat="1" applyBorder="1"/>
    <xf numFmtId="0" fontId="60" fillId="0" borderId="15" xfId="32" applyBorder="1"/>
    <xf numFmtId="0" fontId="60" fillId="0" borderId="15" xfId="32" applyBorder="1" applyAlignment="1">
      <alignment horizontal="right"/>
    </xf>
    <xf numFmtId="183" fontId="60" fillId="0" borderId="15" xfId="32" applyNumberFormat="1" applyBorder="1"/>
    <xf numFmtId="0" fontId="60" fillId="0" borderId="15" xfId="32" applyNumberFormat="1" applyBorder="1"/>
    <xf numFmtId="0" fontId="60" fillId="0" borderId="15" xfId="32" applyFill="1" applyBorder="1" applyAlignment="1">
      <alignment horizontal="right"/>
    </xf>
    <xf numFmtId="0" fontId="60" fillId="0" borderId="15" xfId="32" applyFill="1" applyBorder="1"/>
    <xf numFmtId="165" fontId="60" fillId="0" borderId="15" xfId="32" applyNumberFormat="1" applyFill="1" applyBorder="1"/>
    <xf numFmtId="165" fontId="60" fillId="0" borderId="17" xfId="32" applyNumberFormat="1" applyBorder="1"/>
    <xf numFmtId="2" fontId="60" fillId="0" borderId="17" xfId="32" applyNumberFormat="1" applyBorder="1"/>
    <xf numFmtId="165" fontId="60" fillId="0" borderId="22" xfId="32" applyNumberFormat="1" applyBorder="1"/>
    <xf numFmtId="164" fontId="60" fillId="11" borderId="35" xfId="32" applyNumberFormat="1" applyFill="1" applyBorder="1"/>
    <xf numFmtId="0" fontId="60" fillId="11" borderId="17" xfId="32" applyFill="1" applyBorder="1"/>
    <xf numFmtId="0" fontId="60" fillId="22" borderId="0" xfId="32" applyFill="1" applyBorder="1"/>
    <xf numFmtId="0" fontId="60" fillId="22" borderId="0" xfId="32" applyFill="1" applyBorder="1" applyAlignment="1">
      <alignment horizontal="center"/>
    </xf>
    <xf numFmtId="10" fontId="0" fillId="0" borderId="0" xfId="35" applyNumberFormat="1" applyFont="1" applyBorder="1" applyAlignment="1">
      <alignment horizontal="center"/>
    </xf>
    <xf numFmtId="12" fontId="60" fillId="0" borderId="35" xfId="32" applyNumberFormat="1" applyBorder="1"/>
    <xf numFmtId="0" fontId="60" fillId="0" borderId="43" xfId="32" applyBorder="1"/>
    <xf numFmtId="0" fontId="60" fillId="19" borderId="17" xfId="32" applyFill="1" applyBorder="1"/>
    <xf numFmtId="0" fontId="60" fillId="0" borderId="17" xfId="32" applyNumberFormat="1" applyBorder="1"/>
    <xf numFmtId="12" fontId="60" fillId="0" borderId="22" xfId="32" applyNumberFormat="1" applyBorder="1"/>
    <xf numFmtId="12" fontId="60" fillId="19" borderId="0" xfId="32" applyNumberFormat="1" applyFill="1" applyBorder="1"/>
    <xf numFmtId="1" fontId="60" fillId="0" borderId="35" xfId="32" applyNumberFormat="1" applyBorder="1"/>
    <xf numFmtId="0" fontId="60" fillId="19" borderId="44" xfId="32" applyFill="1" applyBorder="1" applyAlignment="1">
      <alignment horizontal="center"/>
    </xf>
    <xf numFmtId="0" fontId="60" fillId="19" borderId="45" xfId="32" applyFill="1" applyBorder="1" applyAlignment="1">
      <alignment horizontal="center"/>
    </xf>
    <xf numFmtId="0" fontId="60" fillId="19" borderId="43" xfId="32" applyFill="1" applyBorder="1" applyAlignment="1">
      <alignment horizontal="center"/>
    </xf>
    <xf numFmtId="12" fontId="60" fillId="0" borderId="0" xfId="32" applyNumberFormat="1" applyAlignment="1">
      <alignment horizontal="center"/>
    </xf>
    <xf numFmtId="12" fontId="60" fillId="0" borderId="46" xfId="32" applyNumberFormat="1" applyBorder="1"/>
    <xf numFmtId="0" fontId="60" fillId="0" borderId="25" xfId="32" applyBorder="1"/>
    <xf numFmtId="0" fontId="60" fillId="11" borderId="10" xfId="32" applyNumberFormat="1" applyFill="1" applyBorder="1"/>
    <xf numFmtId="0" fontId="60" fillId="11" borderId="25" xfId="32" applyFill="1" applyBorder="1"/>
    <xf numFmtId="0" fontId="60" fillId="11" borderId="0" xfId="32" applyNumberFormat="1" applyFill="1" applyBorder="1"/>
    <xf numFmtId="0" fontId="60" fillId="11" borderId="25" xfId="32" applyNumberFormat="1" applyFill="1" applyBorder="1"/>
    <xf numFmtId="0" fontId="60" fillId="0" borderId="10" xfId="32" applyBorder="1"/>
    <xf numFmtId="0" fontId="60" fillId="11" borderId="36" xfId="32" applyNumberFormat="1" applyFill="1" applyBorder="1"/>
    <xf numFmtId="12" fontId="60" fillId="11" borderId="46" xfId="32" applyNumberFormat="1" applyFill="1" applyBorder="1"/>
    <xf numFmtId="12" fontId="60" fillId="11" borderId="47" xfId="32" applyNumberFormat="1" applyFill="1" applyBorder="1"/>
    <xf numFmtId="0" fontId="60" fillId="0" borderId="33" xfId="32" applyBorder="1" applyAlignment="1">
      <alignment horizontal="right"/>
    </xf>
    <xf numFmtId="0" fontId="60" fillId="11" borderId="26" xfId="32" applyNumberFormat="1" applyFill="1" applyBorder="1"/>
    <xf numFmtId="0" fontId="60" fillId="0" borderId="0" xfId="32" applyFill="1" applyBorder="1" applyAlignment="1">
      <alignment horizontal="center"/>
    </xf>
    <xf numFmtId="0" fontId="60" fillId="0" borderId="9" xfId="32" applyFill="1" applyBorder="1" applyAlignment="1">
      <alignment horizontal="center"/>
    </xf>
    <xf numFmtId="12" fontId="60" fillId="0" borderId="10" xfId="32" applyNumberFormat="1" applyBorder="1"/>
    <xf numFmtId="0" fontId="60" fillId="11" borderId="10" xfId="32" applyFill="1" applyBorder="1"/>
    <xf numFmtId="0" fontId="60" fillId="11" borderId="15" xfId="32" applyFill="1" applyBorder="1"/>
    <xf numFmtId="0" fontId="60" fillId="0" borderId="6" xfId="32" applyFill="1" applyBorder="1" applyAlignment="1">
      <alignment horizontal="center"/>
    </xf>
    <xf numFmtId="12" fontId="60" fillId="0" borderId="7" xfId="32" applyNumberFormat="1" applyBorder="1"/>
    <xf numFmtId="0" fontId="60" fillId="0" borderId="14" xfId="32" applyBorder="1"/>
    <xf numFmtId="0" fontId="60" fillId="11" borderId="7" xfId="32" applyFill="1" applyBorder="1"/>
    <xf numFmtId="0" fontId="60" fillId="11" borderId="14" xfId="32" applyFill="1" applyBorder="1"/>
    <xf numFmtId="0" fontId="60" fillId="0" borderId="1" xfId="32" applyFill="1" applyBorder="1" applyAlignment="1">
      <alignment horizontal="center"/>
    </xf>
    <xf numFmtId="12" fontId="60" fillId="11" borderId="2" xfId="32" applyNumberFormat="1" applyFill="1" applyBorder="1"/>
    <xf numFmtId="0" fontId="60" fillId="0" borderId="12" xfId="32" applyBorder="1"/>
    <xf numFmtId="0" fontId="60" fillId="11" borderId="12" xfId="32" applyFill="1" applyBorder="1"/>
    <xf numFmtId="0" fontId="60" fillId="0" borderId="13" xfId="32" applyBorder="1"/>
    <xf numFmtId="0" fontId="60" fillId="11" borderId="13" xfId="32" applyFill="1" applyBorder="1"/>
    <xf numFmtId="0" fontId="60" fillId="0" borderId="23" xfId="32" applyFill="1" applyBorder="1"/>
    <xf numFmtId="0" fontId="60" fillId="11" borderId="35" xfId="32" applyNumberFormat="1" applyFill="1" applyBorder="1"/>
    <xf numFmtId="0" fontId="60" fillId="0" borderId="35" xfId="32" applyNumberFormat="1" applyBorder="1"/>
    <xf numFmtId="0" fontId="60" fillId="0" borderId="22" xfId="32" applyNumberFormat="1" applyBorder="1"/>
    <xf numFmtId="0" fontId="60" fillId="6" borderId="0" xfId="32" applyFill="1"/>
    <xf numFmtId="0" fontId="39" fillId="2" borderId="0" xfId="32" applyFont="1" applyFill="1"/>
    <xf numFmtId="164" fontId="60" fillId="2" borderId="0" xfId="32" applyNumberFormat="1" applyFill="1"/>
    <xf numFmtId="170" fontId="60" fillId="2" borderId="0" xfId="32" applyNumberFormat="1" applyFill="1"/>
    <xf numFmtId="1" fontId="60" fillId="2" borderId="0" xfId="32" applyNumberFormat="1" applyFill="1"/>
    <xf numFmtId="170" fontId="60" fillId="6" borderId="0" xfId="32" applyNumberFormat="1" applyFill="1"/>
    <xf numFmtId="0" fontId="5" fillId="2" borderId="0" xfId="9" applyNumberFormat="1" applyFill="1"/>
    <xf numFmtId="0" fontId="5" fillId="6" borderId="0" xfId="9" applyFill="1"/>
    <xf numFmtId="2" fontId="5" fillId="6" borderId="0" xfId="9" applyNumberFormat="1" applyFill="1"/>
    <xf numFmtId="0" fontId="6" fillId="2" borderId="7" xfId="9" applyFont="1" applyFill="1" applyBorder="1" applyAlignment="1">
      <alignment horizontal="right"/>
    </xf>
    <xf numFmtId="4" fontId="5" fillId="2" borderId="7" xfId="9" applyNumberFormat="1" applyFill="1" applyBorder="1"/>
    <xf numFmtId="4" fontId="5" fillId="2" borderId="0" xfId="9" applyNumberFormat="1" applyFill="1"/>
    <xf numFmtId="0" fontId="6" fillId="2" borderId="1" xfId="9" applyFont="1" applyFill="1" applyBorder="1" applyAlignment="1">
      <alignment horizontal="center"/>
    </xf>
    <xf numFmtId="0" fontId="6" fillId="2" borderId="3" xfId="9" applyFont="1" applyFill="1" applyBorder="1" applyAlignment="1">
      <alignment horizontal="center"/>
    </xf>
    <xf numFmtId="0" fontId="6" fillId="2" borderId="7" xfId="9" applyFont="1" applyFill="1" applyBorder="1"/>
    <xf numFmtId="0" fontId="6" fillId="2" borderId="8" xfId="9" applyFont="1" applyFill="1" applyBorder="1" applyAlignment="1">
      <alignment horizontal="right"/>
    </xf>
    <xf numFmtId="4" fontId="5" fillId="2" borderId="0" xfId="9" applyNumberFormat="1" applyFill="1" applyBorder="1"/>
    <xf numFmtId="174" fontId="5" fillId="2" borderId="4" xfId="9" applyNumberFormat="1" applyFill="1" applyBorder="1" applyAlignment="1">
      <alignment horizontal="center"/>
    </xf>
    <xf numFmtId="174" fontId="5" fillId="2" borderId="5" xfId="9" applyNumberFormat="1" applyFill="1" applyBorder="1" applyAlignment="1">
      <alignment horizontal="center"/>
    </xf>
    <xf numFmtId="0" fontId="6" fillId="2" borderId="0" xfId="9" applyFont="1" applyFill="1"/>
    <xf numFmtId="0" fontId="6" fillId="2" borderId="0" xfId="32" applyFont="1" applyFill="1" applyAlignment="1">
      <alignment horizontal="center"/>
    </xf>
    <xf numFmtId="0" fontId="60" fillId="2" borderId="0" xfId="32" applyFill="1" applyAlignment="1">
      <alignment horizontal="left"/>
    </xf>
    <xf numFmtId="2" fontId="6" fillId="2" borderId="0" xfId="32" applyNumberFormat="1" applyFont="1" applyFill="1" applyAlignment="1">
      <alignment horizontal="center"/>
    </xf>
    <xf numFmtId="0" fontId="60" fillId="2" borderId="0" xfId="32" applyNumberFormat="1" applyFill="1"/>
    <xf numFmtId="0" fontId="60" fillId="2" borderId="0" xfId="32" applyFont="1" applyFill="1"/>
    <xf numFmtId="0" fontId="5" fillId="2" borderId="0" xfId="32" applyFont="1" applyFill="1" applyAlignment="1">
      <alignment horizontal="left"/>
    </xf>
    <xf numFmtId="0" fontId="60" fillId="13" borderId="0" xfId="32" applyFill="1" applyAlignment="1">
      <alignment horizontal="center"/>
    </xf>
    <xf numFmtId="0" fontId="5" fillId="2" borderId="0" xfId="32" applyFont="1" applyFill="1"/>
    <xf numFmtId="170" fontId="60" fillId="2" borderId="0" xfId="32" applyNumberFormat="1" applyFill="1" applyAlignment="1">
      <alignment horizontal="center"/>
    </xf>
    <xf numFmtId="2" fontId="60" fillId="2" borderId="0" xfId="32" applyNumberFormat="1" applyFill="1" applyAlignment="1">
      <alignment horizontal="center"/>
    </xf>
    <xf numFmtId="0" fontId="3" fillId="3" borderId="0" xfId="20" applyFill="1"/>
    <xf numFmtId="0" fontId="3" fillId="3" borderId="0" xfId="20" applyFill="1" applyAlignment="1">
      <alignment horizontal="right"/>
    </xf>
    <xf numFmtId="0" fontId="3" fillId="3" borderId="0" xfId="20" applyFill="1" applyBorder="1"/>
    <xf numFmtId="44" fontId="0" fillId="20" borderId="0" xfId="21" applyFont="1" applyFill="1"/>
    <xf numFmtId="9" fontId="3" fillId="20" borderId="0" xfId="20" applyNumberFormat="1" applyFill="1"/>
    <xf numFmtId="2" fontId="3" fillId="3" borderId="0" xfId="20" applyNumberFormat="1" applyFill="1" applyBorder="1"/>
    <xf numFmtId="2" fontId="3" fillId="20" borderId="0" xfId="20" applyNumberFormat="1" applyFill="1" applyBorder="1" applyAlignment="1">
      <alignment horizontal="right"/>
    </xf>
    <xf numFmtId="2" fontId="3" fillId="20" borderId="0" xfId="20" applyNumberFormat="1" applyFill="1" applyBorder="1"/>
    <xf numFmtId="169" fontId="0" fillId="3" borderId="0" xfId="21" applyNumberFormat="1" applyFont="1" applyFill="1"/>
    <xf numFmtId="44" fontId="0" fillId="3" borderId="0" xfId="21" applyFont="1" applyFill="1"/>
    <xf numFmtId="2" fontId="0" fillId="2" borderId="0" xfId="9" applyNumberFormat="1" applyFont="1" applyFill="1" applyBorder="1" applyAlignment="1" applyProtection="1">
      <alignment horizontal="left"/>
    </xf>
    <xf numFmtId="168" fontId="5" fillId="2" borderId="0" xfId="9" applyNumberFormat="1" applyFill="1" applyAlignment="1" applyProtection="1">
      <alignment horizontal="center"/>
    </xf>
    <xf numFmtId="2" fontId="0" fillId="2" borderId="0" xfId="9" applyNumberFormat="1" applyFont="1" applyFill="1" applyProtection="1"/>
    <xf numFmtId="0" fontId="5" fillId="20" borderId="0" xfId="0" applyFont="1" applyFill="1" applyAlignment="1">
      <alignment horizontal="left"/>
    </xf>
    <xf numFmtId="0" fontId="0" fillId="20" borderId="0" xfId="0" applyFill="1" applyBorder="1" applyAlignment="1">
      <alignment horizontal="right"/>
    </xf>
    <xf numFmtId="0" fontId="0" fillId="20" borderId="0" xfId="0" applyFill="1" applyAlignment="1">
      <alignment horizontal="right"/>
    </xf>
    <xf numFmtId="0" fontId="0" fillId="20" borderId="2" xfId="0" applyFill="1" applyBorder="1"/>
    <xf numFmtId="0" fontId="0" fillId="20" borderId="0" xfId="0" applyFill="1" applyBorder="1"/>
    <xf numFmtId="0" fontId="2" fillId="20" borderId="0" xfId="34" applyFill="1"/>
    <xf numFmtId="0" fontId="1" fillId="3" borderId="0" xfId="34" applyFont="1" applyFill="1"/>
    <xf numFmtId="0" fontId="0" fillId="27" borderId="0" xfId="0" applyFill="1"/>
    <xf numFmtId="49" fontId="0" fillId="0" borderId="0" xfId="0" applyNumberFormat="1"/>
    <xf numFmtId="49" fontId="88" fillId="28" borderId="0" xfId="31" quotePrefix="1" applyNumberFormat="1" applyFont="1" applyFill="1" applyAlignment="1" applyProtection="1"/>
    <xf numFmtId="49" fontId="87" fillId="27" borderId="0" xfId="0" applyNumberFormat="1" applyFont="1" applyFill="1"/>
    <xf numFmtId="0" fontId="89" fillId="0" borderId="0" xfId="0" applyFont="1"/>
    <xf numFmtId="0" fontId="26" fillId="3" borderId="0" xfId="0" applyFont="1" applyFill="1"/>
    <xf numFmtId="0" fontId="90" fillId="0" borderId="0" xfId="0" applyFont="1" applyFill="1"/>
    <xf numFmtId="0" fontId="30" fillId="3" borderId="0" xfId="0" applyFont="1" applyFill="1" applyBorder="1" applyAlignment="1">
      <alignment horizontal="left"/>
    </xf>
    <xf numFmtId="2" fontId="90" fillId="0" borderId="0" xfId="0" applyNumberFormat="1" applyFont="1"/>
    <xf numFmtId="198" fontId="0" fillId="3" borderId="0" xfId="0" applyNumberFormat="1" applyFill="1" applyAlignment="1">
      <alignment horizontal="center"/>
    </xf>
    <xf numFmtId="0" fontId="0" fillId="3" borderId="1" xfId="0" applyFill="1" applyBorder="1"/>
    <xf numFmtId="0" fontId="6" fillId="3" borderId="4" xfId="0" applyFont="1" applyFill="1" applyBorder="1"/>
    <xf numFmtId="198" fontId="0" fillId="3" borderId="0" xfId="0" applyNumberFormat="1" applyFill="1" applyBorder="1" applyAlignment="1">
      <alignment horizontal="center"/>
    </xf>
    <xf numFmtId="170" fontId="0" fillId="3" borderId="0" xfId="0" applyNumberFormat="1" applyFill="1" applyBorder="1" applyAlignment="1">
      <alignment horizontal="center"/>
    </xf>
    <xf numFmtId="0" fontId="0" fillId="3" borderId="6" xfId="0" applyFill="1" applyBorder="1"/>
    <xf numFmtId="198" fontId="0" fillId="3" borderId="7" xfId="0" applyNumberFormat="1" applyFill="1" applyBorder="1" applyAlignment="1">
      <alignment horizontal="center"/>
    </xf>
    <xf numFmtId="170" fontId="0" fillId="3" borderId="7" xfId="0" applyNumberFormat="1" applyFill="1" applyBorder="1" applyAlignment="1">
      <alignment horizontal="center"/>
    </xf>
    <xf numFmtId="0" fontId="92" fillId="3" borderId="5" xfId="0" applyFont="1" applyFill="1" applyBorder="1" applyAlignment="1">
      <alignment horizontal="center"/>
    </xf>
    <xf numFmtId="164" fontId="93" fillId="3" borderId="5" xfId="0" applyNumberFormat="1" applyFont="1" applyFill="1" applyBorder="1" applyAlignment="1">
      <alignment horizontal="center"/>
    </xf>
    <xf numFmtId="164" fontId="93" fillId="3" borderId="8" xfId="0" applyNumberFormat="1" applyFont="1" applyFill="1" applyBorder="1" applyAlignment="1">
      <alignment horizontal="center"/>
    </xf>
    <xf numFmtId="198" fontId="0" fillId="4" borderId="0" xfId="0" applyNumberFormat="1" applyFill="1" applyAlignment="1">
      <alignment horizontal="center"/>
    </xf>
    <xf numFmtId="170" fontId="0" fillId="4" borderId="0" xfId="0" applyNumberFormat="1" applyFill="1" applyAlignment="1">
      <alignment horizontal="center"/>
    </xf>
    <xf numFmtId="0" fontId="39" fillId="3" borderId="0" xfId="0" applyFont="1" applyFill="1" applyBorder="1"/>
    <xf numFmtId="198" fontId="0" fillId="0" borderId="0" xfId="0" applyNumberFormat="1" applyFill="1" applyAlignment="1">
      <alignment horizontal="center"/>
    </xf>
    <xf numFmtId="199" fontId="0" fillId="3" borderId="0" xfId="0" applyNumberFormat="1" applyFill="1" applyAlignment="1">
      <alignment horizontal="center"/>
    </xf>
    <xf numFmtId="200" fontId="0" fillId="3" borderId="0" xfId="0" applyNumberFormat="1" applyFill="1" applyAlignment="1">
      <alignment horizontal="center"/>
    </xf>
    <xf numFmtId="0" fontId="93" fillId="3" borderId="0" xfId="0" applyFont="1" applyFill="1" applyAlignment="1">
      <alignment horizontal="center"/>
    </xf>
    <xf numFmtId="170" fontId="0" fillId="20" borderId="0" xfId="0" applyNumberFormat="1" applyFill="1" applyBorder="1" applyAlignment="1">
      <alignment horizontal="center"/>
    </xf>
    <xf numFmtId="164" fontId="93" fillId="20" borderId="5" xfId="0" applyNumberFormat="1" applyFont="1" applyFill="1" applyBorder="1" applyAlignment="1">
      <alignment horizontal="center"/>
    </xf>
    <xf numFmtId="0" fontId="0" fillId="29" borderId="0" xfId="0" applyFill="1"/>
    <xf numFmtId="0" fontId="0" fillId="29" borderId="0" xfId="0" applyFill="1" applyAlignment="1">
      <alignment horizontal="right"/>
    </xf>
    <xf numFmtId="164" fontId="0" fillId="29" borderId="0" xfId="0" applyNumberFormat="1" applyFill="1"/>
    <xf numFmtId="2" fontId="0" fillId="29" borderId="0" xfId="0" applyNumberFormat="1" applyFill="1"/>
    <xf numFmtId="170" fontId="0" fillId="29" borderId="0" xfId="0" applyNumberFormat="1" applyFill="1"/>
    <xf numFmtId="0" fontId="6" fillId="29" borderId="0" xfId="0" applyFont="1" applyFill="1"/>
    <xf numFmtId="0" fontId="0" fillId="29" borderId="1" xfId="0" applyFill="1" applyBorder="1"/>
    <xf numFmtId="0" fontId="0" fillId="29" borderId="3" xfId="0" applyFill="1" applyBorder="1"/>
    <xf numFmtId="0" fontId="0" fillId="29" borderId="4" xfId="0" applyFill="1" applyBorder="1"/>
    <xf numFmtId="0" fontId="0" fillId="29" borderId="5" xfId="0" applyFill="1" applyBorder="1"/>
    <xf numFmtId="0" fontId="0" fillId="29" borderId="6" xfId="0" applyFill="1" applyBorder="1"/>
    <xf numFmtId="0" fontId="0" fillId="29" borderId="8" xfId="0" applyFill="1" applyBorder="1"/>
    <xf numFmtId="181" fontId="0" fillId="29" borderId="0" xfId="0" applyNumberFormat="1" applyFill="1"/>
    <xf numFmtId="0" fontId="16" fillId="29" borderId="0" xfId="0" applyFont="1" applyFill="1"/>
    <xf numFmtId="164" fontId="16" fillId="29" borderId="0" xfId="0" applyNumberFormat="1" applyFont="1" applyFill="1"/>
    <xf numFmtId="164" fontId="94" fillId="29" borderId="0" xfId="0" applyNumberFormat="1" applyFont="1" applyFill="1"/>
    <xf numFmtId="0" fontId="94" fillId="29" borderId="0" xfId="0" applyFont="1" applyFill="1"/>
    <xf numFmtId="49" fontId="95" fillId="0" borderId="0" xfId="0" applyNumberFormat="1" applyFont="1"/>
    <xf numFmtId="0" fontId="95" fillId="0" borderId="0" xfId="0" applyFont="1"/>
    <xf numFmtId="0" fontId="28" fillId="2" borderId="6" xfId="0" applyFont="1" applyFill="1" applyBorder="1" applyAlignment="1">
      <alignment horizontal="center"/>
    </xf>
    <xf numFmtId="0" fontId="0" fillId="0" borderId="8" xfId="0" applyBorder="1" applyAlignment="1">
      <alignment horizontal="center"/>
    </xf>
    <xf numFmtId="0" fontId="28" fillId="2"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8" fillId="2" borderId="4" xfId="0" applyFont="1" applyFill="1" applyBorder="1" applyAlignment="1">
      <alignment horizontal="center"/>
    </xf>
    <xf numFmtId="0" fontId="0" fillId="0" borderId="5" xfId="0" applyBorder="1" applyAlignment="1">
      <alignment horizontal="center"/>
    </xf>
    <xf numFmtId="0" fontId="0" fillId="2" borderId="1"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164" fontId="0" fillId="0" borderId="19" xfId="0" applyNumberFormat="1" applyBorder="1" applyAlignment="1">
      <alignment horizontal="center"/>
    </xf>
    <xf numFmtId="164" fontId="0" fillId="0" borderId="20" xfId="0" applyNumberFormat="1" applyBorder="1" applyAlignment="1">
      <alignment horizontal="center"/>
    </xf>
    <xf numFmtId="0" fontId="30" fillId="0" borderId="20" xfId="0" applyFont="1" applyBorder="1" applyAlignment="1">
      <alignment horizontal="center"/>
    </xf>
    <xf numFmtId="0" fontId="72" fillId="0" borderId="15" xfId="0" applyFont="1" applyBorder="1" applyAlignment="1">
      <alignment horizontal="center"/>
    </xf>
    <xf numFmtId="0" fontId="31" fillId="13" borderId="28" xfId="0" applyFont="1" applyFill="1" applyBorder="1" applyAlignment="1">
      <alignment horizontal="center"/>
    </xf>
    <xf numFmtId="0" fontId="27" fillId="0" borderId="12" xfId="0" applyFont="1" applyBorder="1"/>
    <xf numFmtId="0" fontId="27" fillId="0" borderId="48" xfId="0" applyFont="1" applyBorder="1"/>
    <xf numFmtId="0" fontId="27" fillId="0" borderId="14" xfId="0" applyFont="1" applyBorder="1"/>
    <xf numFmtId="0" fontId="27" fillId="0" borderId="49" xfId="0" applyFont="1" applyBorder="1"/>
    <xf numFmtId="0" fontId="31" fillId="3" borderId="28" xfId="0" applyFont="1" applyFill="1" applyBorder="1" applyAlignment="1">
      <alignment horizontal="center"/>
    </xf>
    <xf numFmtId="0" fontId="96" fillId="0" borderId="0" xfId="0" applyFont="1" applyAlignment="1">
      <alignment horizontal="center"/>
    </xf>
    <xf numFmtId="0" fontId="5" fillId="2" borderId="12" xfId="0" applyFont="1" applyFill="1" applyBorder="1" applyAlignment="1">
      <alignment horizontal="center"/>
    </xf>
    <xf numFmtId="0" fontId="73" fillId="2" borderId="12" xfId="0" applyFont="1" applyFill="1" applyBorder="1" applyAlignment="1">
      <alignment horizontal="center"/>
    </xf>
    <xf numFmtId="0" fontId="5" fillId="2" borderId="50" xfId="0" applyFont="1" applyFill="1" applyBorder="1" applyAlignment="1">
      <alignment horizontal="center"/>
    </xf>
    <xf numFmtId="0" fontId="73" fillId="2" borderId="51" xfId="0" applyFont="1" applyFill="1" applyBorder="1" applyAlignment="1">
      <alignment horizontal="center"/>
    </xf>
    <xf numFmtId="0" fontId="5" fillId="2" borderId="52" xfId="0" applyFont="1" applyFill="1" applyBorder="1"/>
    <xf numFmtId="0" fontId="5" fillId="2" borderId="37" xfId="0" applyFont="1" applyFill="1" applyBorder="1" applyAlignment="1">
      <alignment horizontal="center"/>
    </xf>
    <xf numFmtId="49" fontId="5" fillId="2" borderId="28" xfId="0" applyNumberFormat="1" applyFont="1" applyFill="1" applyBorder="1" applyAlignment="1">
      <alignment horizontal="center"/>
    </xf>
    <xf numFmtId="49" fontId="0" fillId="2" borderId="28" xfId="0" applyNumberFormat="1" applyFont="1" applyFill="1" applyBorder="1" applyAlignment="1">
      <alignment horizontal="center"/>
    </xf>
    <xf numFmtId="0" fontId="5" fillId="2" borderId="53" xfId="0" applyFont="1" applyFill="1" applyBorder="1" applyAlignment="1">
      <alignment horizontal="center"/>
    </xf>
    <xf numFmtId="0" fontId="73" fillId="2" borderId="38" xfId="0" applyFont="1" applyFill="1" applyBorder="1" applyAlignment="1">
      <alignment horizontal="center"/>
    </xf>
    <xf numFmtId="49" fontId="5" fillId="2" borderId="54" xfId="0" applyNumberFormat="1" applyFont="1" applyFill="1" applyBorder="1" applyAlignment="1">
      <alignment horizontal="center"/>
    </xf>
    <xf numFmtId="0" fontId="49" fillId="0" borderId="0" xfId="0" applyFont="1" applyBorder="1"/>
    <xf numFmtId="0" fontId="49" fillId="0" borderId="0" xfId="0" applyFont="1" applyBorder="1" applyAlignment="1">
      <alignment horizontal="left"/>
    </xf>
  </cellXfs>
  <cellStyles count="36">
    <cellStyle name="Dezimal 2" xfId="2"/>
    <cellStyle name="Euro" xfId="3"/>
    <cellStyle name="Hyperlink" xfId="31" builtinId="8"/>
    <cellStyle name="Hyperlink 2" xfId="4"/>
    <cellStyle name="Komma" xfId="26" builtinId="3"/>
    <cellStyle name="Komma 2" xfId="5"/>
    <cellStyle name="Komma 3" xfId="19"/>
    <cellStyle name="Komma 3 2" xfId="24"/>
    <cellStyle name="Prozent" xfId="1" builtinId="5"/>
    <cellStyle name="Prozent 2" xfId="6"/>
    <cellStyle name="Prozent 3" xfId="7"/>
    <cellStyle name="Prozent 4" xfId="8"/>
    <cellStyle name="Prozent 4 2" xfId="23"/>
    <cellStyle name="Prozent 5" xfId="35"/>
    <cellStyle name="Standard" xfId="0" builtinId="0"/>
    <cellStyle name="Standard 2" xfId="9"/>
    <cellStyle name="Standard 2 2" xfId="10"/>
    <cellStyle name="Standard 3" xfId="11"/>
    <cellStyle name="Standard 3 2" xfId="12"/>
    <cellStyle name="Standard 4" xfId="13"/>
    <cellStyle name="Standard 4 2" xfId="20"/>
    <cellStyle name="Standard 5" xfId="14"/>
    <cellStyle name="Standard 5 2" xfId="22"/>
    <cellStyle name="Standard 6" xfId="15"/>
    <cellStyle name="Standard 6 2" xfId="34"/>
    <cellStyle name="Standard 7" xfId="17"/>
    <cellStyle name="Standard 8" xfId="18"/>
    <cellStyle name="Standard 9" xfId="32"/>
    <cellStyle name="Standard_BLSTUFEN" xfId="28"/>
    <cellStyle name="Standard_Interferenz2" xfId="30"/>
    <cellStyle name="Standard_kredit_funktionen" xfId="33"/>
    <cellStyle name="Standard_Trigon03" xfId="29"/>
    <cellStyle name="Währung" xfId="25" builtinId="4"/>
    <cellStyle name="Währung 2" xfId="16"/>
    <cellStyle name="Währung 2 2" xfId="21"/>
    <cellStyle name="Währung 3" xfId="27"/>
  </cellStyles>
  <dxfs count="39">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patternFill>
      </fill>
    </dxf>
    <dxf>
      <fill>
        <patternFill>
          <bgColor theme="1" tint="0.24994659260841701"/>
        </patternFill>
      </fill>
    </dxf>
    <dxf>
      <font>
        <b/>
        <i val="0"/>
        <color theme="5" tint="-0.24994659260841701"/>
      </font>
    </dxf>
    <dxf>
      <font>
        <b/>
        <i val="0"/>
        <color theme="5" tint="-0.24994659260841701"/>
      </font>
    </dxf>
    <dxf>
      <font>
        <b/>
        <i val="0"/>
        <color theme="5" tint="-0.24994659260841701"/>
      </font>
    </dxf>
    <dxf>
      <font>
        <b/>
        <i val="0"/>
        <color theme="5" tint="-0.24994659260841701"/>
      </font>
    </dxf>
    <dxf>
      <font>
        <b/>
        <i val="0"/>
        <color theme="5" tint="-0.24994659260841701"/>
      </font>
    </dxf>
    <dxf>
      <font>
        <b/>
        <i val="0"/>
        <color theme="5" tint="-0.24994659260841701"/>
      </font>
    </dxf>
    <dxf>
      <font>
        <b/>
        <i val="0"/>
        <color theme="5" tint="-0.24994659260841701"/>
      </font>
    </dxf>
    <dxf>
      <font>
        <b/>
        <i val="0"/>
        <color theme="5" tint="-0.24994659260841701"/>
      </font>
    </dxf>
    <dxf>
      <font>
        <color rgb="FF9C0006"/>
      </font>
    </dxf>
    <dxf>
      <font>
        <b val="0"/>
        <i/>
        <color theme="0" tint="-0.24994659260841701"/>
      </font>
    </dxf>
    <dxf>
      <fill>
        <patternFill>
          <bgColor theme="1"/>
        </patternFill>
      </fill>
    </dxf>
    <dxf>
      <fill>
        <patternFill>
          <bgColor theme="0"/>
        </patternFill>
      </fill>
    </dxf>
    <dxf>
      <fill>
        <patternFill>
          <bgColor theme="1"/>
        </patternFill>
      </fill>
    </dxf>
    <dxf>
      <fill>
        <patternFill>
          <bgColor theme="0"/>
        </patternFill>
      </fill>
    </dxf>
    <dxf>
      <fill>
        <patternFill>
          <bgColor theme="1"/>
        </patternFill>
      </fill>
    </dxf>
    <dxf>
      <fill>
        <patternFill>
          <bgColor theme="0"/>
        </patternFill>
      </fill>
    </dxf>
    <dxf>
      <font>
        <condense val="0"/>
        <extend val="0"/>
        <color indexed="9"/>
      </font>
      <fill>
        <patternFill>
          <bgColor indexed="9"/>
        </patternFill>
      </fill>
    </dxf>
    <dxf>
      <font>
        <condense val="0"/>
        <extend val="0"/>
        <color indexed="8"/>
      </font>
      <fill>
        <patternFill>
          <bgColor indexed="8"/>
        </patternFill>
      </fill>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51"/>
        </patternFill>
      </fill>
    </dxf>
    <dxf>
      <fill>
        <patternFill>
          <bgColor indexed="52"/>
        </patternFill>
      </fill>
    </dxf>
    <dxf>
      <fill>
        <patternFill>
          <bgColor indexed="51"/>
        </patternFill>
      </fill>
    </dxf>
    <dxf>
      <fill>
        <patternFill>
          <bgColor indexed="5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de-DE"/>
              <a:t>Wie ändert sich die Helligkeit bei Veränderung des Projektionsabstands?</a:t>
            </a:r>
          </a:p>
        </c:rich>
      </c:tx>
      <c:overlay val="0"/>
    </c:title>
    <c:autoTitleDeleted val="0"/>
    <c:view3D>
      <c:rotX val="15"/>
      <c:rotY val="20"/>
      <c:depthPercent val="100"/>
      <c:rAngAx val="0"/>
      <c:perspective val="30"/>
    </c:view3D>
    <c:floor>
      <c:thickness val="0"/>
    </c:floor>
    <c:sideWall>
      <c:thickness val="0"/>
    </c:sideWall>
    <c:backWall>
      <c:thickness val="0"/>
    </c:backWall>
    <c:plotArea>
      <c:layout/>
      <c:bar3DChart>
        <c:barDir val="col"/>
        <c:grouping val="clustered"/>
        <c:varyColors val="0"/>
        <c:ser>
          <c:idx val="0"/>
          <c:order val="0"/>
          <c:tx>
            <c:v>Projektionsabstand &amp; Helligkeit</c:v>
          </c:tx>
          <c:invertIfNegative val="0"/>
          <c:cat>
            <c:numLit>
              <c:formatCode>General</c:formatCode>
              <c:ptCount val="16"/>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numLit>
          </c:cat>
          <c:val>
            <c:numRef>
              <c:f>'Projektion-Leitzahl'!$B$433:$Q$433</c:f>
              <c:numCache>
                <c:formatCode>0.00%</c:formatCode>
                <c:ptCount val="16"/>
                <c:pt idx="0" formatCode="0%">
                  <c:v>1</c:v>
                </c:pt>
                <c:pt idx="1">
                  <c:v>0.82644628099173545</c:v>
                </c:pt>
                <c:pt idx="2">
                  <c:v>0.69444444444444442</c:v>
                </c:pt>
                <c:pt idx="3">
                  <c:v>0.59171597633136086</c:v>
                </c:pt>
                <c:pt idx="4">
                  <c:v>0.51020408163265318</c:v>
                </c:pt>
                <c:pt idx="5">
                  <c:v>0.44444444444444442</c:v>
                </c:pt>
                <c:pt idx="6">
                  <c:v>0.39062499999999994</c:v>
                </c:pt>
                <c:pt idx="7">
                  <c:v>0.34602076124567477</c:v>
                </c:pt>
                <c:pt idx="8">
                  <c:v>0.30864197530864196</c:v>
                </c:pt>
                <c:pt idx="9">
                  <c:v>0.2770083102493075</c:v>
                </c:pt>
                <c:pt idx="10">
                  <c:v>0.25</c:v>
                </c:pt>
                <c:pt idx="11">
                  <c:v>0.22675736961451246</c:v>
                </c:pt>
                <c:pt idx="12">
                  <c:v>0.20661157024793386</c:v>
                </c:pt>
                <c:pt idx="13">
                  <c:v>0.18903591682419663</c:v>
                </c:pt>
                <c:pt idx="14">
                  <c:v>0.1736111111111111</c:v>
                </c:pt>
                <c:pt idx="15">
                  <c:v>0.16</c:v>
                </c:pt>
              </c:numCache>
            </c:numRef>
          </c:val>
        </c:ser>
        <c:dLbls>
          <c:showLegendKey val="0"/>
          <c:showVal val="0"/>
          <c:showCatName val="0"/>
          <c:showSerName val="0"/>
          <c:showPercent val="0"/>
          <c:showBubbleSize val="0"/>
        </c:dLbls>
        <c:gapWidth val="150"/>
        <c:shape val="cylinder"/>
        <c:axId val="1337756672"/>
        <c:axId val="1336830784"/>
        <c:axId val="0"/>
      </c:bar3DChart>
      <c:catAx>
        <c:axId val="13377566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336830784"/>
        <c:crosses val="autoZero"/>
        <c:auto val="1"/>
        <c:lblAlgn val="ctr"/>
        <c:lblOffset val="100"/>
        <c:noMultiLvlLbl val="0"/>
      </c:catAx>
      <c:valAx>
        <c:axId val="133683078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337756672"/>
        <c:crosses val="autoZero"/>
        <c:crossBetween val="between"/>
      </c:valAx>
      <c:spPr>
        <a:noFill/>
        <a:ln w="25400">
          <a:noFill/>
        </a:ln>
      </c:spPr>
    </c:plotArea>
    <c:legend>
      <c:legendPos val="r"/>
      <c:overlay val="0"/>
      <c:txPr>
        <a:bodyPr/>
        <a:lstStyle/>
        <a:p>
          <a:pPr>
            <a:defRPr sz="92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de-DE"/>
              <a:t>Zusammenhang Abbildungsmaßstab und  Lichtabfall in Belichtungsstufen</a:t>
            </a:r>
          </a:p>
        </c:rich>
      </c:tx>
      <c:layout>
        <c:manualLayout>
          <c:xMode val="edge"/>
          <c:yMode val="edge"/>
          <c:x val="0.20757842666701257"/>
          <c:y val="2.7820710973724884E-2"/>
        </c:manualLayout>
      </c:layout>
      <c:overlay val="0"/>
      <c:spPr>
        <a:noFill/>
        <a:ln w="25400">
          <a:noFill/>
        </a:ln>
      </c:spPr>
    </c:title>
    <c:autoTitleDeleted val="0"/>
    <c:plotArea>
      <c:layout>
        <c:manualLayout>
          <c:layoutTarget val="inner"/>
          <c:xMode val="edge"/>
          <c:yMode val="edge"/>
          <c:x val="0.13344316309719934"/>
          <c:y val="0.16355408323227544"/>
          <c:w val="0.82042833607907739"/>
          <c:h val="0.79959774024667984"/>
        </c:manualLayout>
      </c:layout>
      <c:lineChart>
        <c:grouping val="standard"/>
        <c:varyColors val="0"/>
        <c:ser>
          <c:idx val="0"/>
          <c:order val="0"/>
          <c:tx>
            <c:v>Abbildungsmaßstab-Stufen</c:v>
          </c:tx>
          <c:spPr>
            <a:ln w="12700">
              <a:solidFill>
                <a:srgbClr val="000080"/>
              </a:solidFill>
              <a:prstDash val="solid"/>
            </a:ln>
          </c:spPr>
          <c:marker>
            <c:symbol val="none"/>
          </c:marker>
          <c:cat>
            <c:numRef>
              <c:f>'Belichtung-Bildweite'!$C$10:$R$10</c:f>
              <c:numCache>
                <c:formatCode>0.0</c:formatCode>
                <c:ptCount val="16"/>
                <c:pt idx="0">
                  <c:v>55</c:v>
                </c:pt>
                <c:pt idx="1">
                  <c:v>43.8</c:v>
                </c:pt>
                <c:pt idx="2">
                  <c:v>34.840000000000003</c:v>
                </c:pt>
                <c:pt idx="3">
                  <c:v>27.672000000000001</c:v>
                </c:pt>
                <c:pt idx="4">
                  <c:v>21.937600000000003</c:v>
                </c:pt>
                <c:pt idx="5">
                  <c:v>17.350080000000002</c:v>
                </c:pt>
                <c:pt idx="6">
                  <c:v>13.680064000000002</c:v>
                </c:pt>
                <c:pt idx="7">
                  <c:v>10.744051200000001</c:v>
                </c:pt>
                <c:pt idx="8">
                  <c:v>8.3952409600000006</c:v>
                </c:pt>
                <c:pt idx="9">
                  <c:v>6.5161927680000007</c:v>
                </c:pt>
                <c:pt idx="10">
                  <c:v>5.0129542144000006</c:v>
                </c:pt>
                <c:pt idx="11">
                  <c:v>3.8103633715200003</c:v>
                </c:pt>
                <c:pt idx="12">
                  <c:v>2.8482906972160005</c:v>
                </c:pt>
                <c:pt idx="13">
                  <c:v>2.0786325577728002</c:v>
                </c:pt>
                <c:pt idx="14">
                  <c:v>1.4629060462182402</c:v>
                </c:pt>
                <c:pt idx="15">
                  <c:v>0.97032483697459226</c:v>
                </c:pt>
              </c:numCache>
            </c:numRef>
          </c:cat>
          <c:val>
            <c:numRef>
              <c:f>'Belichtung-Bildweite'!$C$13:$R$13</c:f>
              <c:numCache>
                <c:formatCode>0.000</c:formatCode>
                <c:ptCount val="16"/>
                <c:pt idx="0">
                  <c:v>5.1990417065888583E-2</c:v>
                </c:pt>
                <c:pt idx="1">
                  <c:v>6.5135724912861237E-2</c:v>
                </c:pt>
                <c:pt idx="2">
                  <c:v>8.1652026917479165E-2</c:v>
                </c:pt>
                <c:pt idx="3">
                  <c:v>0.10243124736935218</c:v>
                </c:pt>
                <c:pt idx="4">
                  <c:v>0.12861749166186473</c:v>
                </c:pt>
                <c:pt idx="5">
                  <c:v>0.16168807549815228</c:v>
                </c:pt>
                <c:pt idx="6">
                  <c:v>0.203566556375123</c:v>
                </c:pt>
                <c:pt idx="7">
                  <c:v>0.25678415601062599</c:v>
                </c:pt>
                <c:pt idx="8">
                  <c:v>0.32471685800896505</c:v>
                </c:pt>
                <c:pt idx="9">
                  <c:v>0.41194556889341361</c:v>
                </c:pt>
                <c:pt idx="10">
                  <c:v>0.52482583159232532</c:v>
                </c:pt>
                <c:pt idx="11">
                  <c:v>0.67243458567437875</c:v>
                </c:pt>
                <c:pt idx="12">
                  <c:v>0.86824277559345386</c:v>
                </c:pt>
                <c:pt idx="13">
                  <c:v>1.1333098692419357</c:v>
                </c:pt>
                <c:pt idx="14">
                  <c:v>1.5030489538632263</c:v>
                </c:pt>
                <c:pt idx="15">
                  <c:v>2.043787584958515</c:v>
                </c:pt>
              </c:numCache>
            </c:numRef>
          </c:val>
          <c:smooth val="0"/>
        </c:ser>
        <c:dLbls>
          <c:showLegendKey val="0"/>
          <c:showVal val="0"/>
          <c:showCatName val="0"/>
          <c:showSerName val="0"/>
          <c:showPercent val="0"/>
          <c:showBubbleSize val="0"/>
        </c:dLbls>
        <c:marker val="1"/>
        <c:smooth val="0"/>
        <c:axId val="1404713984"/>
        <c:axId val="1341614336"/>
      </c:lineChart>
      <c:catAx>
        <c:axId val="1404713984"/>
        <c:scaling>
          <c:orientation val="minMax"/>
        </c:scaling>
        <c:delete val="0"/>
        <c:axPos val="t"/>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de-DE"/>
                  <a:t>Maßstab (Kehrwert)</a:t>
                </a:r>
              </a:p>
            </c:rich>
          </c:tx>
          <c:layout>
            <c:manualLayout>
              <c:xMode val="edge"/>
              <c:yMode val="edge"/>
              <c:x val="0.44975322895181757"/>
              <c:y val="9.7372488408037097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41614336"/>
        <c:crosses val="autoZero"/>
        <c:auto val="1"/>
        <c:lblAlgn val="ctr"/>
        <c:lblOffset val="40"/>
        <c:tickLblSkip val="1"/>
        <c:tickMarkSkip val="1"/>
        <c:noMultiLvlLbl val="0"/>
      </c:catAx>
      <c:valAx>
        <c:axId val="1341614336"/>
        <c:scaling>
          <c:orientation val="maxMin"/>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de-DE"/>
                  <a:t>Belichtungsstufen</a:t>
                </a:r>
              </a:p>
            </c:rich>
          </c:tx>
          <c:layout>
            <c:manualLayout>
              <c:xMode val="edge"/>
              <c:yMode val="edge"/>
              <c:x val="2.6359143327841845E-2"/>
              <c:y val="0.48686244204018547"/>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404713984"/>
        <c:crosses val="autoZero"/>
        <c:crossBetween val="midCat"/>
        <c:majorUnit val="0.0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25" b="1" i="0" u="none" strike="noStrike" baseline="0">
                <a:solidFill>
                  <a:srgbClr val="000000"/>
                </a:solidFill>
                <a:latin typeface="Arial"/>
                <a:ea typeface="Arial"/>
                <a:cs typeface="Arial"/>
              </a:defRPr>
            </a:pPr>
            <a:r>
              <a:rPr lang="de-DE"/>
              <a:t>Lichtintensität in Abhängigkeit von der Bildweite</a:t>
            </a:r>
          </a:p>
        </c:rich>
      </c:tx>
      <c:layout>
        <c:manualLayout>
          <c:xMode val="edge"/>
          <c:yMode val="edge"/>
          <c:x val="0.1367188867016623"/>
          <c:y val="1.1185682326621925E-2"/>
        </c:manualLayout>
      </c:layout>
      <c:overlay val="0"/>
      <c:spPr>
        <a:noFill/>
        <a:ln w="25400">
          <a:noFill/>
        </a:ln>
      </c:spPr>
    </c:title>
    <c:autoTitleDeleted val="0"/>
    <c:plotArea>
      <c:layout>
        <c:manualLayout>
          <c:layoutTarget val="inner"/>
          <c:xMode val="edge"/>
          <c:yMode val="edge"/>
          <c:x val="0.22386155074151087"/>
          <c:y val="0.27173196599926386"/>
          <c:w val="0.57397060393608312"/>
          <c:h val="0.39225824124087277"/>
        </c:manualLayout>
      </c:layout>
      <c:lineChart>
        <c:grouping val="standard"/>
        <c:varyColors val="0"/>
        <c:ser>
          <c:idx val="0"/>
          <c:order val="0"/>
          <c:tx>
            <c:v>Lichtintensität - Bildweite</c:v>
          </c:tx>
          <c:spPr>
            <a:ln w="12700">
              <a:solidFill>
                <a:srgbClr val="000080"/>
              </a:solidFill>
              <a:prstDash val="solid"/>
            </a:ln>
          </c:spPr>
          <c:marker>
            <c:symbol val="none"/>
          </c:marker>
          <c:cat>
            <c:numRef>
              <c:f>'Belichtung-Bildweite'!$I$99:$I$268</c:f>
              <c:numCache>
                <c:formatCode>0.00</c:formatCode>
                <c:ptCount val="170"/>
                <c:pt idx="0">
                  <c:v>25049.999999999978</c:v>
                </c:pt>
                <c:pt idx="1">
                  <c:v>2318.6025408348396</c:v>
                </c:pt>
                <c:pt idx="2">
                  <c:v>1227.002316340556</c:v>
                </c:pt>
                <c:pt idx="3">
                  <c:v>839.51005153668837</c:v>
                </c:pt>
                <c:pt idx="4">
                  <c:v>641.03733732841499</c:v>
                </c:pt>
                <c:pt idx="5">
                  <c:v>520.41572087066947</c:v>
                </c:pt>
                <c:pt idx="6">
                  <c:v>439.36338930114783</c:v>
                </c:pt>
                <c:pt idx="7">
                  <c:v>381.16302557075261</c:v>
                </c:pt>
                <c:pt idx="8">
                  <c:v>337.35186332015178</c:v>
                </c:pt>
                <c:pt idx="9">
                  <c:v>303.18666591451961</c:v>
                </c:pt>
                <c:pt idx="10">
                  <c:v>275.80253840491139</c:v>
                </c:pt>
                <c:pt idx="11">
                  <c:v>253.36689595242831</c:v>
                </c:pt>
                <c:pt idx="12">
                  <c:v>234.65292098501899</c:v>
                </c:pt>
                <c:pt idx="13">
                  <c:v>218.80837012993527</c:v>
                </c:pt>
                <c:pt idx="14">
                  <c:v>205.22275492504428</c:v>
                </c:pt>
                <c:pt idx="15">
                  <c:v>193.4472952758239</c:v>
                </c:pt>
                <c:pt idx="16">
                  <c:v>183.1447022626204</c:v>
                </c:pt>
                <c:pt idx="17">
                  <c:v>174.05658009270167</c:v>
                </c:pt>
                <c:pt idx="18">
                  <c:v>165.98163350044098</c:v>
                </c:pt>
                <c:pt idx="19">
                  <c:v>158.76072066947887</c:v>
                </c:pt>
                <c:pt idx="20">
                  <c:v>152.26636777048213</c:v>
                </c:pt>
                <c:pt idx="21">
                  <c:v>146.3952650205041</c:v>
                </c:pt>
                <c:pt idx="22">
                  <c:v>141.0627999288659</c:v>
                </c:pt>
                <c:pt idx="23">
                  <c:v>136.19901042424905</c:v>
                </c:pt>
                <c:pt idx="24">
                  <c:v>131.74554546469625</c:v>
                </c:pt>
                <c:pt idx="25">
                  <c:v>127.65335216921791</c:v>
                </c:pt>
                <c:pt idx="26">
                  <c:v>123.88089462515329</c:v>
                </c:pt>
                <c:pt idx="27">
                  <c:v>120.39276704260227</c:v>
                </c:pt>
                <c:pt idx="28">
                  <c:v>117.15860302313396</c:v>
                </c:pt>
                <c:pt idx="29">
                  <c:v>114.15220971472425</c:v>
                </c:pt>
                <c:pt idx="30">
                  <c:v>111.35087455535444</c:v>
                </c:pt>
                <c:pt idx="31">
                  <c:v>108.73480576006557</c:v>
                </c:pt>
                <c:pt idx="32">
                  <c:v>106.28667738704178</c:v>
                </c:pt>
                <c:pt idx="33">
                  <c:v>103.99125686690817</c:v>
                </c:pt>
                <c:pt idx="34">
                  <c:v>101.83509806775412</c:v>
                </c:pt>
                <c:pt idx="35">
                  <c:v>99.806286826410812</c:v>
                </c:pt>
                <c:pt idx="36">
                  <c:v>97.894228772722769</c:v>
                </c:pt>
                <c:pt idx="37">
                  <c:v>96.089471467193448</c:v>
                </c:pt>
                <c:pt idx="38">
                  <c:v>94.383554547857841</c:v>
                </c:pt>
                <c:pt idx="39">
                  <c:v>92.768882872055599</c:v>
                </c:pt>
                <c:pt idx="40">
                  <c:v>91.238618639120403</c:v>
                </c:pt>
                <c:pt idx="41">
                  <c:v>89.786589261295362</c:v>
                </c:pt>
                <c:pt idx="42">
                  <c:v>88.407208364458313</c:v>
                </c:pt>
                <c:pt idx="43">
                  <c:v>87.095407786248927</c:v>
                </c:pt>
                <c:pt idx="44">
                  <c:v>85.84657882601158</c:v>
                </c:pt>
                <c:pt idx="45">
                  <c:v>84.656521310601221</c:v>
                </c:pt>
                <c:pt idx="46">
                  <c:v>83.521399289283451</c:v>
                </c:pt>
                <c:pt idx="47">
                  <c:v>82.437702372530239</c:v>
                </c:pt>
                <c:pt idx="48">
                  <c:v>81.402211893368388</c:v>
                </c:pt>
                <c:pt idx="49">
                  <c:v>80.411971203759023</c:v>
                </c:pt>
                <c:pt idx="50">
                  <c:v>79.464259528268144</c:v>
                </c:pt>
                <c:pt idx="51">
                  <c:v>78.556568887735395</c:v>
                </c:pt>
                <c:pt idx="52">
                  <c:v>77.686583680471017</c:v>
                </c:pt>
                <c:pt idx="53">
                  <c:v>76.852162570652368</c:v>
                </c:pt>
                <c:pt idx="54">
                  <c:v>76.051322385395224</c:v>
                </c:pt>
                <c:pt idx="55">
                  <c:v>75.2822237653169</c:v>
                </c:pt>
                <c:pt idx="56">
                  <c:v>74.543158349798048</c:v>
                </c:pt>
                <c:pt idx="57">
                  <c:v>73.832537308803012</c:v>
                </c:pt>
                <c:pt idx="58">
                  <c:v>73.148881059024049</c:v>
                </c:pt>
                <c:pt idx="59">
                  <c:v>72.490810024075174</c:v>
                </c:pt>
                <c:pt idx="60">
                  <c:v>71.857036317133321</c:v>
                </c:pt>
                <c:pt idx="61">
                  <c:v>71.246356240345619</c:v>
                </c:pt>
                <c:pt idx="62">
                  <c:v>70.657643508936133</c:v>
                </c:pt>
                <c:pt idx="63">
                  <c:v>70.089843119617569</c:v>
                </c:pt>
                <c:pt idx="64">
                  <c:v>69.541965792946939</c:v>
                </c:pt>
                <c:pt idx="65">
                  <c:v>69.013082927910446</c:v>
                </c:pt>
                <c:pt idx="66">
                  <c:v>68.502322014492421</c:v>
                </c:pt>
                <c:pt idx="67">
                  <c:v>68.008862456449847</c:v>
                </c:pt>
                <c:pt idx="68">
                  <c:v>67.5319317621273</c:v>
                </c:pt>
                <c:pt idx="69">
                  <c:v>67.070802066028179</c:v>
                </c:pt>
                <c:pt idx="70">
                  <c:v>66.624786948113453</c:v>
                </c:pt>
                <c:pt idx="71">
                  <c:v>66.193238521515084</c:v>
                </c:pt>
                <c:pt idx="72">
                  <c:v>65.775544762603928</c:v>
                </c:pt>
                <c:pt idx="73">
                  <c:v>65.371127060203889</c:v>
                </c:pt>
                <c:pt idx="74">
                  <c:v>64.979437963249467</c:v>
                </c:pt>
                <c:pt idx="75">
                  <c:v>64.599959108389641</c:v>
                </c:pt>
                <c:pt idx="76">
                  <c:v>64.232199310984811</c:v>
                </c:pt>
                <c:pt idx="77">
                  <c:v>63.875692804661995</c:v>
                </c:pt>
                <c:pt idx="78">
                  <c:v>63.529997616112162</c:v>
                </c:pt>
                <c:pt idx="79">
                  <c:v>63.194694063160981</c:v>
                </c:pt>
                <c:pt idx="80">
                  <c:v>62.869383365339317</c:v>
                </c:pt>
                <c:pt idx="81">
                  <c:v>62.553686357242633</c:v>
                </c:pt>
                <c:pt idx="82">
                  <c:v>62.24724229591471</c:v>
                </c:pt>
                <c:pt idx="83">
                  <c:v>61.949707754334923</c:v>
                </c:pt>
                <c:pt idx="84">
                  <c:v>61.660755593841643</c:v>
                </c:pt>
                <c:pt idx="85">
                  <c:v>61.380074008998172</c:v>
                </c:pt>
                <c:pt idx="86">
                  <c:v>61.107365639011171</c:v>
                </c:pt>
                <c:pt idx="87">
                  <c:v>60.842346740352113</c:v>
                </c:pt>
                <c:pt idx="88">
                  <c:v>60.584746415718577</c:v>
                </c:pt>
                <c:pt idx="89">
                  <c:v>60.334305894908375</c:v>
                </c:pt>
                <c:pt idx="90">
                  <c:v>60.090777863573024</c:v>
                </c:pt>
                <c:pt idx="91">
                  <c:v>59.853925836170838</c:v>
                </c:pt>
                <c:pt idx="92">
                  <c:v>59.62352356976001</c:v>
                </c:pt>
                <c:pt idx="93">
                  <c:v>59.399354515560397</c:v>
                </c:pt>
                <c:pt idx="94">
                  <c:v>59.181211305473951</c:v>
                </c:pt>
                <c:pt idx="95">
                  <c:v>58.968895270990288</c:v>
                </c:pt>
                <c:pt idx="96">
                  <c:v>58.762215992117888</c:v>
                </c:pt>
                <c:pt idx="97">
                  <c:v>58.560990874175936</c:v>
                </c:pt>
                <c:pt idx="98">
                  <c:v>58.365044750458466</c:v>
                </c:pt>
                <c:pt idx="99">
                  <c:v>58.174209508942837</c:v>
                </c:pt>
                <c:pt idx="100">
                  <c:v>57.988323741360766</c:v>
                </c:pt>
                <c:pt idx="101">
                  <c:v>57.807232413083199</c:v>
                </c:pt>
                <c:pt idx="102">
                  <c:v>57.630786552391704</c:v>
                </c:pt>
                <c:pt idx="103">
                  <c:v>57.458842957819741</c:v>
                </c:pt>
                <c:pt idx="104">
                  <c:v>57.291263922348442</c:v>
                </c:pt>
                <c:pt idx="105">
                  <c:v>57.127916973334095</c:v>
                </c:pt>
                <c:pt idx="106">
                  <c:v>56.968674627128976</c:v>
                </c:pt>
                <c:pt idx="107">
                  <c:v>56.813414157435055</c:v>
                </c:pt>
                <c:pt idx="108">
                  <c:v>56.662017376500984</c:v>
                </c:pt>
                <c:pt idx="109">
                  <c:v>56.514370428338005</c:v>
                </c:pt>
                <c:pt idx="110">
                  <c:v>56.370363593190497</c:v>
                </c:pt>
                <c:pt idx="111">
                  <c:v>56.229891102551768</c:v>
                </c:pt>
                <c:pt idx="112">
                  <c:v>56.092850964066358</c:v>
                </c:pt>
                <c:pt idx="113">
                  <c:v>55.959144795706806</c:v>
                </c:pt>
                <c:pt idx="114">
                  <c:v>55.828677668655686</c:v>
                </c:pt>
                <c:pt idx="115">
                  <c:v>55.701357958363246</c:v>
                </c:pt>
                <c:pt idx="116">
                  <c:v>55.577097203287686</c:v>
                </c:pt>
                <c:pt idx="117">
                  <c:v>55.455809970858454</c:v>
                </c:pt>
                <c:pt idx="118">
                  <c:v>55.337413730234559</c:v>
                </c:pt>
                <c:pt idx="119">
                  <c:v>55.22182873145811</c:v>
                </c:pt>
                <c:pt idx="120">
                  <c:v>55.108977890630428</c:v>
                </c:pt>
                <c:pt idx="121">
                  <c:v>54.998786680762386</c:v>
                </c:pt>
                <c:pt idx="122">
                  <c:v>54.891183027973554</c:v>
                </c:pt>
                <c:pt idx="123">
                  <c:v>54.786097212735967</c:v>
                </c:pt>
                <c:pt idx="124">
                  <c:v>54.683461775877817</c:v>
                </c:pt>
                <c:pt idx="125">
                  <c:v>54.583211429080656</c:v>
                </c:pt>
                <c:pt idx="126">
                  <c:v>54.485282969620634</c:v>
                </c:pt>
                <c:pt idx="127">
                  <c:v>54.389615199119916</c:v>
                </c:pt>
                <c:pt idx="128">
                  <c:v>54.296148846089146</c:v>
                </c:pt>
                <c:pt idx="129">
                  <c:v>54.204826492055297</c:v>
                </c:pt>
                <c:pt idx="130">
                  <c:v>54.115592501082034</c:v>
                </c:pt>
                <c:pt idx="131">
                  <c:v>54.028392952501321</c:v>
                </c:pt>
                <c:pt idx="132">
                  <c:v>53.943175576686158</c:v>
                </c:pt>
                <c:pt idx="133">
                  <c:v>53.859889693704496</c:v>
                </c:pt>
                <c:pt idx="134">
                  <c:v>53.778486154703884</c:v>
                </c:pt>
                <c:pt idx="135">
                  <c:v>53.698917285885329</c:v>
                </c:pt>
                <c:pt idx="136">
                  <c:v>53.621136834933345</c:v>
                </c:pt>
                <c:pt idx="137">
                  <c:v>53.545099919776604</c:v>
                </c:pt>
                <c:pt idx="138">
                  <c:v>53.470762979561222</c:v>
                </c:pt>
                <c:pt idx="139">
                  <c:v>53.398083727725258</c:v>
                </c:pt>
                <c:pt idx="140">
                  <c:v>53.327021107069577</c:v>
                </c:pt>
                <c:pt idx="141">
                  <c:v>53.257535246725908</c:v>
                </c:pt>
                <c:pt idx="142">
                  <c:v>53.189587420928852</c:v>
                </c:pt>
                <c:pt idx="143">
                  <c:v>53.123140009503537</c:v>
                </c:pt>
                <c:pt idx="144">
                  <c:v>53.058156459985625</c:v>
                </c:pt>
                <c:pt idx="145">
                  <c:v>52.99460125129503</c:v>
                </c:pt>
                <c:pt idx="146">
                  <c:v>52.932439858888941</c:v>
                </c:pt>
                <c:pt idx="147">
                  <c:v>52.87163872132377</c:v>
                </c:pt>
                <c:pt idx="148">
                  <c:v>52.81216520815957</c:v>
                </c:pt>
                <c:pt idx="149">
                  <c:v>52.753987589143939</c:v>
                </c:pt>
                <c:pt idx="150">
                  <c:v>52.697075004615741</c:v>
                </c:pt>
                <c:pt idx="151">
                  <c:v>52.641397437072378</c:v>
                </c:pt>
                <c:pt idx="152">
                  <c:v>52.586925683846957</c:v>
                </c:pt>
                <c:pt idx="153">
                  <c:v>52.533631330844798</c:v>
                </c:pt>
                <c:pt idx="154">
                  <c:v>52.481486727291234</c:v>
                </c:pt>
                <c:pt idx="155">
                  <c:v>52.430464961445146</c:v>
                </c:pt>
                <c:pt idx="156">
                  <c:v>52.380539837234956</c:v>
                </c:pt>
                <c:pt idx="157">
                  <c:v>52.3316858517762</c:v>
                </c:pt>
                <c:pt idx="158">
                  <c:v>52.283878173731622</c:v>
                </c:pt>
                <c:pt idx="159">
                  <c:v>52.237092622476851</c:v>
                </c:pt>
                <c:pt idx="160">
                  <c:v>52.19130564803659</c:v>
                </c:pt>
                <c:pt idx="161">
                  <c:v>52.146494311757898</c:v>
                </c:pt>
                <c:pt idx="162">
                  <c:v>52.102636267688808</c:v>
                </c:pt>
                <c:pt idx="163">
                  <c:v>52.059709744632173</c:v>
                </c:pt>
                <c:pt idx="164">
                  <c:v>52.017693528846031</c:v>
                </c:pt>
                <c:pt idx="165">
                  <c:v>51.97656694736316</c:v>
                </c:pt>
                <c:pt idx="166">
                  <c:v>51.936309851903836</c:v>
                </c:pt>
                <c:pt idx="167">
                  <c:v>51.896902603357098</c:v>
                </c:pt>
                <c:pt idx="168">
                  <c:v>51.858326056806945</c:v>
                </c:pt>
                <c:pt idx="169">
                  <c:v>51.820561547080942</c:v>
                </c:pt>
              </c:numCache>
            </c:numRef>
          </c:cat>
          <c:val>
            <c:numRef>
              <c:f>'Belichtung-Bildweite'!$N$99:$N$268</c:f>
              <c:numCache>
                <c:formatCode>0.00%</c:formatCode>
                <c:ptCount val="170"/>
                <c:pt idx="0" formatCode="0.0000%">
                  <c:v>3.9840478723192411E-6</c:v>
                </c:pt>
                <c:pt idx="1">
                  <c:v>4.6503687738715804E-4</c:v>
                </c:pt>
                <c:pt idx="2">
                  <c:v>1.6605396249332676E-3</c:v>
                </c:pt>
                <c:pt idx="3">
                  <c:v>3.5472206823029487E-3</c:v>
                </c:pt>
                <c:pt idx="4">
                  <c:v>6.0837779859214394E-3</c:v>
                </c:pt>
                <c:pt idx="5">
                  <c:v>9.2307968653549781E-3</c:v>
                </c:pt>
                <c:pt idx="6">
                  <c:v>1.2950671193070475E-2</c:v>
                </c:pt>
                <c:pt idx="7">
                  <c:v>1.7207527705075172E-2</c:v>
                </c:pt>
                <c:pt idx="8">
                  <c:v>2.196715336716874E-2</c:v>
                </c:pt>
                <c:pt idx="9">
                  <c:v>2.7196925666447425E-2</c:v>
                </c:pt>
                <c:pt idx="10">
                  <c:v>3.2865745712414095E-2</c:v>
                </c:pt>
                <c:pt idx="11">
                  <c:v>3.8943974036579641E-2</c:v>
                </c:pt>
                <c:pt idx="12">
                  <c:v>4.5403368983794462E-2</c:v>
                </c:pt>
                <c:pt idx="13">
                  <c:v>5.2217027592734347E-2</c:v>
                </c:pt>
                <c:pt idx="14">
                  <c:v>5.9359328866985028E-2</c:v>
                </c:pt>
                <c:pt idx="15">
                  <c:v>6.6805879342034372E-2</c:v>
                </c:pt>
                <c:pt idx="16">
                  <c:v>7.4533460857195311E-2</c:v>
                </c:pt>
                <c:pt idx="17">
                  <c:v>8.2519980445050295E-2</c:v>
                </c:pt>
                <c:pt idx="18">
                  <c:v>9.0744422254436644E-2</c:v>
                </c:pt>
                <c:pt idx="19">
                  <c:v>9.9186801426290647E-2</c:v>
                </c:pt>
                <c:pt idx="20">
                  <c:v>0.10782811984483028</c:v>
                </c:pt>
                <c:pt idx="21">
                  <c:v>0.11665032368960424</c:v>
                </c:pt>
                <c:pt idx="22">
                  <c:v>0.12563626271685699</c:v>
                </c:pt>
                <c:pt idx="23">
                  <c:v>0.13476965120146847</c:v>
                </c:pt>
                <c:pt idx="24">
                  <c:v>0.14403503047343075</c:v>
                </c:pt>
                <c:pt idx="25">
                  <c:v>0.153417732985417</c:v>
                </c:pt>
                <c:pt idx="26">
                  <c:v>0.16290384785048961</c:v>
                </c:pt>
                <c:pt idx="27">
                  <c:v>0.17248018779139598</c:v>
                </c:pt>
                <c:pt idx="28">
                  <c:v>0.18213425744519707</c:v>
                </c:pt>
                <c:pt idx="29">
                  <c:v>0.19185422296919</c:v>
                </c:pt>
                <c:pt idx="30">
                  <c:v>0.20162888289621059</c:v>
                </c:pt>
                <c:pt idx="31">
                  <c:v>0.21144764018944667</c:v>
                </c:pt>
                <c:pt idx="32">
                  <c:v>0.22130047544885204</c:v>
                </c:pt>
                <c:pt idx="33">
                  <c:v>0.23117792122314207</c:v>
                </c:pt>
                <c:pt idx="34">
                  <c:v>0.24107103738316113</c:v>
                </c:pt>
                <c:pt idx="35">
                  <c:v>0.25097138751415682</c:v>
                </c:pt>
                <c:pt idx="36">
                  <c:v>0.26087101628616399</c:v>
                </c:pt>
                <c:pt idx="37">
                  <c:v>0.27076242776331827</c:v>
                </c:pt>
                <c:pt idx="38">
                  <c:v>0.28063856461445541</c:v>
                </c:pt>
                <c:pt idx="39">
                  <c:v>0.29049278818884289</c:v>
                </c:pt>
                <c:pt idx="40">
                  <c:v>0.30031885942231562</c:v>
                </c:pt>
                <c:pt idx="41">
                  <c:v>0.31011092054045575</c:v>
                </c:pt>
                <c:pt idx="42">
                  <c:v>0.31986347752678029</c:v>
                </c:pt>
                <c:pt idx="43">
                  <c:v>0.32957138332515629</c:v>
                </c:pt>
                <c:pt idx="44">
                  <c:v>0.33922982174688804</c:v>
                </c:pt>
                <c:pt idx="45">
                  <c:v>0.3488342920540855</c:v>
                </c:pt>
                <c:pt idx="46">
                  <c:v>0.35838059419204321</c:v>
                </c:pt>
                <c:pt idx="47">
                  <c:v>0.36786481464444309</c:v>
                </c:pt>
                <c:pt idx="48">
                  <c:v>0.37728331288622713</c:v>
                </c:pt>
                <c:pt idx="49">
                  <c:v>0.38663270840998126</c:v>
                </c:pt>
                <c:pt idx="50">
                  <c:v>0.39590986830263086</c:v>
                </c:pt>
                <c:pt idx="51">
                  <c:v>0.4051118953501664</c:v>
                </c:pt>
                <c:pt idx="52">
                  <c:v>0.41423611664899973</c:v>
                </c:pt>
                <c:pt idx="53">
                  <c:v>0.42328007270340301</c:v>
                </c:pt>
                <c:pt idx="54">
                  <c:v>0.4322415069892912</c:v>
                </c:pt>
                <c:pt idx="55">
                  <c:v>0.44111835596540228</c:v>
                </c:pt>
                <c:pt idx="56">
                  <c:v>0.44990873951367111</c:v>
                </c:pt>
                <c:pt idx="57">
                  <c:v>0.45861095179132216</c:v>
                </c:pt>
                <c:pt idx="58">
                  <c:v>0.46722345247790154</c:v>
                </c:pt>
                <c:pt idx="59">
                  <c:v>0.47574485840113007</c:v>
                </c:pt>
                <c:pt idx="60">
                  <c:v>0.48417393552610505</c:v>
                </c:pt>
                <c:pt idx="61">
                  <c:v>0.49250959129299482</c:v>
                </c:pt>
                <c:pt idx="62">
                  <c:v>0.50075086728895901</c:v>
                </c:pt>
                <c:pt idx="63">
                  <c:v>0.50889693224059418</c:v>
                </c:pt>
                <c:pt idx="64">
                  <c:v>0.51694707531375672</c:v>
                </c:pt>
                <c:pt idx="65">
                  <c:v>0.5249006997081348</c:v>
                </c:pt>
                <c:pt idx="66">
                  <c:v>0.5327573165344438</c:v>
                </c:pt>
                <c:pt idx="67">
                  <c:v>0.54051653896260987</c:v>
                </c:pt>
                <c:pt idx="68">
                  <c:v>0.54817807662976292</c:v>
                </c:pt>
                <c:pt idx="69">
                  <c:v>0.55574173029731566</c:v>
                </c:pt>
                <c:pt idx="70">
                  <c:v>0.56320738674682647</c:v>
                </c:pt>
                <c:pt idx="71">
                  <c:v>0.57057501390476284</c:v>
                </c:pt>
                <c:pt idx="72">
                  <c:v>0.57784465618667313</c:v>
                </c:pt>
                <c:pt idx="73">
                  <c:v>0.58501643005165649</c:v>
                </c:pt>
                <c:pt idx="74">
                  <c:v>0.59209051975838889</c:v>
                </c:pt>
                <c:pt idx="75">
                  <c:v>0.59906717331430559</c:v>
                </c:pt>
                <c:pt idx="76">
                  <c:v>0.60594669860989214</c:v>
                </c:pt>
                <c:pt idx="77">
                  <c:v>0.61272945973034121</c:v>
                </c:pt>
                <c:pt idx="78">
                  <c:v>0.6194158734371612</c:v>
                </c:pt>
                <c:pt idx="79">
                  <c:v>0.62600640581260791</c:v>
                </c:pt>
                <c:pt idx="80">
                  <c:v>0.63250156906010524</c:v>
                </c:pt>
                <c:pt idx="81">
                  <c:v>0.63890191845409439</c:v>
                </c:pt>
                <c:pt idx="82">
                  <c:v>0.64520804943301513</c:v>
                </c:pt>
                <c:pt idx="83">
                  <c:v>0.65142059482937353</c:v>
                </c:pt>
                <c:pt idx="84">
                  <c:v>0.65754022223110453</c:v>
                </c:pt>
                <c:pt idx="85">
                  <c:v>0.6635676314686606</c:v>
                </c:pt>
                <c:pt idx="86">
                  <c:v>0.66950355222248981</c:v>
                </c:pt>
                <c:pt idx="87">
                  <c:v>0.6753487417457813</c:v>
                </c:pt>
                <c:pt idx="88">
                  <c:v>0.68110398269756545</c:v>
                </c:pt>
                <c:pt idx="89">
                  <c:v>0.68677008108144943</c:v>
                </c:pt>
                <c:pt idx="90">
                  <c:v>0.69234786428546802</c:v>
                </c:pt>
                <c:pt idx="91">
                  <c:v>0.69783817921870983</c:v>
                </c:pt>
                <c:pt idx="92">
                  <c:v>0.70324189054055575</c:v>
                </c:pt>
                <c:pt idx="93">
                  <c:v>0.70855987897853268</c:v>
                </c:pt>
                <c:pt idx="94">
                  <c:v>0.71379303973096075</c:v>
                </c:pt>
                <c:pt idx="95">
                  <c:v>0.71894228095070789</c:v>
                </c:pt>
                <c:pt idx="96">
                  <c:v>0.72400852230653912</c:v>
                </c:pt>
                <c:pt idx="97">
                  <c:v>0.72899269361867336</c:v>
                </c:pt>
                <c:pt idx="98">
                  <c:v>0.73389573356531024</c:v>
                </c:pt>
                <c:pt idx="99">
                  <c:v>0.73871858845701455</c:v>
                </c:pt>
                <c:pt idx="100">
                  <c:v>0.74346221107598387</c:v>
                </c:pt>
                <c:pt idx="101">
                  <c:v>0.74812755957733335</c:v>
                </c:pt>
                <c:pt idx="102">
                  <c:v>0.7527155964496629</c:v>
                </c:pt>
                <c:pt idx="103">
                  <c:v>0.75722728753227586</c:v>
                </c:pt>
                <c:pt idx="104">
                  <c:v>0.76166360108653441</c:v>
                </c:pt>
                <c:pt idx="105">
                  <c:v>0.7660255069189259</c:v>
                </c:pt>
                <c:pt idx="106">
                  <c:v>0.77031397555353909</c:v>
                </c:pt>
                <c:pt idx="107">
                  <c:v>0.77452997745172136</c:v>
                </c:pt>
                <c:pt idx="108">
                  <c:v>0.77867448227678993</c:v>
                </c:pt>
                <c:pt idx="109">
                  <c:v>0.7827484582017632</c:v>
                </c:pt>
                <c:pt idx="110">
                  <c:v>0.78675287125815352</c:v>
                </c:pt>
                <c:pt idx="111">
                  <c:v>0.79068868472395282</c:v>
                </c:pt>
                <c:pt idx="112">
                  <c:v>0.79455685854901104</c:v>
                </c:pt>
                <c:pt idx="113">
                  <c:v>0.79835834881609402</c:v>
                </c:pt>
                <c:pt idx="114">
                  <c:v>0.80209410723596952</c:v>
                </c:pt>
                <c:pt idx="115">
                  <c:v>0.8057650806749459</c:v>
                </c:pt>
                <c:pt idx="116">
                  <c:v>0.80937221071334642</c:v>
                </c:pt>
                <c:pt idx="117">
                  <c:v>0.81291643323347851</c:v>
                </c:pt>
                <c:pt idx="118">
                  <c:v>0.81639867803570298</c:v>
                </c:pt>
                <c:pt idx="119">
                  <c:v>0.81981986848128185</c:v>
                </c:pt>
                <c:pt idx="120">
                  <c:v>0.82318092116072461</c:v>
                </c:pt>
                <c:pt idx="121">
                  <c:v>0.82648274558642099</c:v>
                </c:pt>
                <c:pt idx="122">
                  <c:v>0.82972624390839278</c:v>
                </c:pt>
                <c:pt idx="123">
                  <c:v>0.83291231065204141</c:v>
                </c:pt>
                <c:pt idx="124">
                  <c:v>0.83604183247683106</c:v>
                </c:pt>
                <c:pt idx="125">
                  <c:v>0.83911568795487923</c:v>
                </c:pt>
                <c:pt idx="126">
                  <c:v>0.84213474736847294</c:v>
                </c:pt>
                <c:pt idx="127">
                  <c:v>0.84509987252557661</c:v>
                </c:pt>
                <c:pt idx="128">
                  <c:v>0.84801191659243524</c:v>
                </c:pt>
                <c:pt idx="129">
                  <c:v>0.85087172394241006</c:v>
                </c:pt>
                <c:pt idx="130">
                  <c:v>0.85368013002022813</c:v>
                </c:pt>
                <c:pt idx="131">
                  <c:v>0.85643796122086147</c:v>
                </c:pt>
                <c:pt idx="132">
                  <c:v>0.85914603478228146</c:v>
                </c:pt>
                <c:pt idx="133">
                  <c:v>0.86180515869136953</c:v>
                </c:pt>
                <c:pt idx="134">
                  <c:v>0.86441613160230235</c:v>
                </c:pt>
                <c:pt idx="135">
                  <c:v>0.86697974276674772</c:v>
                </c:pt>
                <c:pt idx="136">
                  <c:v>0.86949677197524355</c:v>
                </c:pt>
                <c:pt idx="137">
                  <c:v>0.87196798950916721</c:v>
                </c:pt>
                <c:pt idx="138">
                  <c:v>0.87439415610270943</c:v>
                </c:pt>
                <c:pt idx="139">
                  <c:v>0.87677602291431667</c:v>
                </c:pt>
                <c:pt idx="140">
                  <c:v>0.87911433150706386</c:v>
                </c:pt>
                <c:pt idx="141">
                  <c:v>0.8814098138374733</c:v>
                </c:pt>
                <c:pt idx="142">
                  <c:v>0.88366319225228829</c:v>
                </c:pt>
                <c:pt idx="143">
                  <c:v>0.88587517949274952</c:v>
                </c:pt>
                <c:pt idx="144">
                  <c:v>0.88804647870593911</c:v>
                </c:pt>
                <c:pt idx="145">
                  <c:v>0.89017778346277843</c:v>
                </c:pt>
                <c:pt idx="146">
                  <c:v>0.89226977778227201</c:v>
                </c:pt>
                <c:pt idx="147">
                  <c:v>0.89432313616163339</c:v>
                </c:pt>
                <c:pt idx="148">
                  <c:v>0.89633852361191935</c:v>
                </c:pt>
                <c:pt idx="149">
                  <c:v>0.89831659569883071</c:v>
                </c:pt>
                <c:pt idx="150">
                  <c:v>0.90025799858835553</c:v>
                </c:pt>
                <c:pt idx="151">
                  <c:v>0.90216336909693229</c:v>
                </c:pt>
                <c:pt idx="152">
                  <c:v>0.90403333474584047</c:v>
                </c:pt>
                <c:pt idx="153">
                  <c:v>0.90586851381953104</c:v>
                </c:pt>
                <c:pt idx="154">
                  <c:v>0.9076695154276273</c:v>
                </c:pt>
                <c:pt idx="155">
                  <c:v>0.90943693957033145</c:v>
                </c:pt>
                <c:pt idx="156">
                  <c:v>0.9111713772069977</c:v>
                </c:pt>
                <c:pt idx="157">
                  <c:v>0.91287341032763292</c:v>
                </c:pt>
                <c:pt idx="158">
                  <c:v>0.91454361202710199</c:v>
                </c:pt>
                <c:pt idx="159">
                  <c:v>0.91618254658182763</c:v>
                </c:pt>
                <c:pt idx="160">
                  <c:v>0.91779076952877858</c:v>
                </c:pt>
                <c:pt idx="161">
                  <c:v>0.91936882774655637</c:v>
                </c:pt>
                <c:pt idx="162">
                  <c:v>0.92091725953839954</c:v>
                </c:pt>
                <c:pt idx="163">
                  <c:v>0.9224365947169284</c:v>
                </c:pt>
                <c:pt idx="164">
                  <c:v>0.92392735469046594</c:v>
                </c:pt>
                <c:pt idx="165">
                  <c:v>0.92539005255077944</c:v>
                </c:pt>
                <c:pt idx="166">
                  <c:v>0.92682519316209389</c:v>
                </c:pt>
                <c:pt idx="167">
                  <c:v>0.92823327325123794</c:v>
                </c:pt>
                <c:pt idx="168">
                  <c:v>0.92961478149877896</c:v>
                </c:pt>
                <c:pt idx="169">
                  <c:v>0.93097019863103769</c:v>
                </c:pt>
              </c:numCache>
            </c:numRef>
          </c:val>
          <c:smooth val="0"/>
        </c:ser>
        <c:dLbls>
          <c:showLegendKey val="0"/>
          <c:showVal val="0"/>
          <c:showCatName val="0"/>
          <c:showSerName val="0"/>
          <c:showPercent val="0"/>
          <c:showBubbleSize val="0"/>
        </c:dLbls>
        <c:marker val="1"/>
        <c:smooth val="0"/>
        <c:axId val="1334957568"/>
        <c:axId val="1341616064"/>
      </c:lineChart>
      <c:catAx>
        <c:axId val="1334957568"/>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de-DE"/>
                  <a:t>Bildweite in mm bei f = 50 mm</a:t>
                </a:r>
              </a:p>
            </c:rich>
          </c:tx>
          <c:layout>
            <c:manualLayout>
              <c:xMode val="edge"/>
              <c:yMode val="edge"/>
              <c:x val="0.32421916010498686"/>
              <c:y val="0.883670782762892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5400000" vert="horz"/>
          <a:lstStyle/>
          <a:p>
            <a:pPr>
              <a:defRPr sz="1525" b="0" i="0" u="none" strike="noStrike" baseline="0">
                <a:solidFill>
                  <a:srgbClr val="000000"/>
                </a:solidFill>
                <a:latin typeface="Arial"/>
                <a:ea typeface="Arial"/>
                <a:cs typeface="Arial"/>
              </a:defRPr>
            </a:pPr>
            <a:endParaRPr lang="de-DE"/>
          </a:p>
        </c:txPr>
        <c:crossAx val="1341616064"/>
        <c:crosses val="autoZero"/>
        <c:auto val="1"/>
        <c:lblAlgn val="ctr"/>
        <c:lblOffset val="100"/>
        <c:tickLblSkip val="13"/>
        <c:tickMarkSkip val="1"/>
        <c:noMultiLvlLbl val="0"/>
      </c:catAx>
      <c:valAx>
        <c:axId val="1341616064"/>
        <c:scaling>
          <c:orientation val="minMax"/>
        </c:scaling>
        <c:delete val="0"/>
        <c:axPos val="l"/>
        <c:majorGridlines>
          <c:spPr>
            <a:ln w="3175">
              <a:solidFill>
                <a:srgbClr val="000000"/>
              </a:solidFill>
              <a:prstDash val="solid"/>
            </a:ln>
          </c:spPr>
        </c:majorGridlines>
        <c:title>
          <c:tx>
            <c:rich>
              <a:bodyPr/>
              <a:lstStyle/>
              <a:p>
                <a:pPr>
                  <a:defRPr sz="1525" b="1" i="0" u="none" strike="noStrike" baseline="0">
                    <a:solidFill>
                      <a:srgbClr val="000000"/>
                    </a:solidFill>
                    <a:latin typeface="Arial"/>
                    <a:ea typeface="Arial"/>
                    <a:cs typeface="Arial"/>
                  </a:defRPr>
                </a:pPr>
                <a:r>
                  <a:rPr lang="de-DE"/>
                  <a:t>Intensität</a:t>
                </a:r>
              </a:p>
            </c:rich>
          </c:tx>
          <c:layout>
            <c:manualLayout>
              <c:xMode val="edge"/>
              <c:yMode val="edge"/>
              <c:x val="2.2135416666666668E-2"/>
              <c:y val="0.36017967552713631"/>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525" b="0" i="0" u="none" strike="noStrike" baseline="0">
                <a:solidFill>
                  <a:srgbClr val="000000"/>
                </a:solidFill>
                <a:latin typeface="Arial"/>
                <a:ea typeface="Arial"/>
                <a:cs typeface="Arial"/>
              </a:defRPr>
            </a:pPr>
            <a:endParaRPr lang="de-DE"/>
          </a:p>
        </c:txPr>
        <c:crossAx val="1334957568"/>
        <c:crosses val="autoZero"/>
        <c:crossBetween val="between"/>
        <c:majorUnit val="0.1"/>
        <c:minorUnit val="0.02"/>
      </c:valAx>
      <c:spPr>
        <a:solidFill>
          <a:srgbClr val="C0C0C0"/>
        </a:solidFill>
        <a:ln w="12700">
          <a:solidFill>
            <a:srgbClr val="808080"/>
          </a:solidFill>
          <a:prstDash val="solid"/>
        </a:ln>
      </c:spPr>
    </c:plotArea>
    <c:legend>
      <c:legendPos val="r"/>
      <c:layout>
        <c:manualLayout>
          <c:xMode val="edge"/>
          <c:yMode val="edge"/>
          <c:x val="0.75520929024496941"/>
          <c:y val="0.41387118556489161"/>
          <c:w val="0.22916694006999128"/>
          <c:h val="0.11185705813618935"/>
        </c:manualLayout>
      </c:layout>
      <c:overlay val="0"/>
      <c:spPr>
        <a:solidFill>
          <a:srgbClr val="FFFFFF"/>
        </a:solidFill>
        <a:ln w="3175">
          <a:solidFill>
            <a:srgbClr val="000000"/>
          </a:solidFill>
          <a:prstDash val="solid"/>
        </a:ln>
      </c:spPr>
      <c:txPr>
        <a:bodyPr/>
        <a:lstStyle/>
        <a:p>
          <a:pPr>
            <a:defRPr sz="10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25" b="1" i="0" u="none" strike="noStrike" baseline="0">
                <a:solidFill>
                  <a:srgbClr val="000000"/>
                </a:solidFill>
                <a:latin typeface="Arial"/>
                <a:ea typeface="Arial"/>
                <a:cs typeface="Arial"/>
              </a:defRPr>
            </a:pPr>
            <a:r>
              <a:rPr lang="de-DE"/>
              <a:t>Lichtintensität in Abhängigkeit von der Gegenstandsweite</a:t>
            </a:r>
          </a:p>
        </c:rich>
      </c:tx>
      <c:layout>
        <c:manualLayout>
          <c:xMode val="edge"/>
          <c:yMode val="edge"/>
          <c:x val="0.21100931190940581"/>
          <c:y val="1.0845986984815618E-2"/>
        </c:manualLayout>
      </c:layout>
      <c:overlay val="0"/>
      <c:spPr>
        <a:noFill/>
        <a:ln w="25400">
          <a:noFill/>
        </a:ln>
      </c:spPr>
    </c:title>
    <c:autoTitleDeleted val="0"/>
    <c:plotArea>
      <c:layout>
        <c:manualLayout>
          <c:layoutTarget val="inner"/>
          <c:xMode val="edge"/>
          <c:yMode val="edge"/>
          <c:x val="0.2254259501965924"/>
          <c:y val="0.26114649681528662"/>
          <c:w val="0.5910878112712975"/>
          <c:h val="0.43736730360934184"/>
        </c:manualLayout>
      </c:layout>
      <c:lineChart>
        <c:grouping val="standard"/>
        <c:varyColors val="0"/>
        <c:ser>
          <c:idx val="0"/>
          <c:order val="0"/>
          <c:tx>
            <c:v>Lichtintensität - Gegenstandsweite</c:v>
          </c:tx>
          <c:spPr>
            <a:ln w="12700">
              <a:solidFill>
                <a:srgbClr val="000080"/>
              </a:solidFill>
              <a:prstDash val="solid"/>
            </a:ln>
          </c:spPr>
          <c:marker>
            <c:symbol val="none"/>
          </c:marker>
          <c:cat>
            <c:numRef>
              <c:f>'Belichtung-Bildweite'!$D$99:$D$268</c:f>
              <c:numCache>
                <c:formatCode>0.00</c:formatCode>
                <c:ptCount val="170"/>
                <c:pt idx="0">
                  <c:v>50.1</c:v>
                </c:pt>
                <c:pt idx="1">
                  <c:v>51.102000000000004</c:v>
                </c:pt>
                <c:pt idx="2">
                  <c:v>52.124040000000008</c:v>
                </c:pt>
                <c:pt idx="3">
                  <c:v>53.166520800000008</c:v>
                </c:pt>
                <c:pt idx="4">
                  <c:v>54.229851216000007</c:v>
                </c:pt>
                <c:pt idx="5">
                  <c:v>55.314448240320012</c:v>
                </c:pt>
                <c:pt idx="6">
                  <c:v>56.420737205126414</c:v>
                </c:pt>
                <c:pt idx="7">
                  <c:v>57.549151949228943</c:v>
                </c:pt>
                <c:pt idx="8">
                  <c:v>58.70013498821352</c:v>
                </c:pt>
                <c:pt idx="9">
                  <c:v>59.874137687977793</c:v>
                </c:pt>
                <c:pt idx="10">
                  <c:v>61.071620441737352</c:v>
                </c:pt>
                <c:pt idx="11">
                  <c:v>62.293052850572103</c:v>
                </c:pt>
                <c:pt idx="12">
                  <c:v>63.538913907583549</c:v>
                </c:pt>
                <c:pt idx="13">
                  <c:v>64.809692185735216</c:v>
                </c:pt>
                <c:pt idx="14">
                  <c:v>66.10588602944992</c:v>
                </c:pt>
                <c:pt idx="15">
                  <c:v>67.428003750038926</c:v>
                </c:pt>
                <c:pt idx="16">
                  <c:v>68.776563825039702</c:v>
                </c:pt>
                <c:pt idx="17">
                  <c:v>70.152095101540496</c:v>
                </c:pt>
                <c:pt idx="18">
                  <c:v>71.555137003571303</c:v>
                </c:pt>
                <c:pt idx="19">
                  <c:v>72.986239743642727</c:v>
                </c:pt>
                <c:pt idx="20">
                  <c:v>74.445964538515582</c:v>
                </c:pt>
                <c:pt idx="21">
                  <c:v>75.934883829285894</c:v>
                </c:pt>
                <c:pt idx="22">
                  <c:v>77.453581505871611</c:v>
                </c:pt>
                <c:pt idx="23">
                  <c:v>79.00265313598905</c:v>
                </c:pt>
                <c:pt idx="24">
                  <c:v>80.582706198708834</c:v>
                </c:pt>
                <c:pt idx="25">
                  <c:v>82.194360322683011</c:v>
                </c:pt>
                <c:pt idx="26">
                  <c:v>83.838247529136666</c:v>
                </c:pt>
                <c:pt idx="27">
                  <c:v>85.515012479719402</c:v>
                </c:pt>
                <c:pt idx="28">
                  <c:v>87.225312729313785</c:v>
                </c:pt>
                <c:pt idx="29">
                  <c:v>88.969818983900069</c:v>
                </c:pt>
                <c:pt idx="30">
                  <c:v>90.749215363578074</c:v>
                </c:pt>
                <c:pt idx="31">
                  <c:v>92.564199670849632</c:v>
                </c:pt>
                <c:pt idx="32">
                  <c:v>94.415483664266631</c:v>
                </c:pt>
                <c:pt idx="33">
                  <c:v>96.303793337551966</c:v>
                </c:pt>
                <c:pt idx="34">
                  <c:v>98.229869204303</c:v>
                </c:pt>
                <c:pt idx="35">
                  <c:v>100.19446658838906</c:v>
                </c:pt>
                <c:pt idx="36">
                  <c:v>102.19835592015684</c:v>
                </c:pt>
                <c:pt idx="37">
                  <c:v>104.24232303855999</c:v>
                </c:pt>
                <c:pt idx="38">
                  <c:v>106.32716949933119</c:v>
                </c:pt>
                <c:pt idx="39">
                  <c:v>108.45371288931781</c:v>
                </c:pt>
                <c:pt idx="40">
                  <c:v>110.62278714710418</c:v>
                </c:pt>
                <c:pt idx="41">
                  <c:v>112.83524289004626</c:v>
                </c:pt>
                <c:pt idx="42">
                  <c:v>115.09194774784719</c:v>
                </c:pt>
                <c:pt idx="43">
                  <c:v>117.39378670280414</c:v>
                </c:pt>
                <c:pt idx="44">
                  <c:v>119.74166243686022</c:v>
                </c:pt>
                <c:pt idx="45">
                  <c:v>122.13649568559742</c:v>
                </c:pt>
                <c:pt idx="46">
                  <c:v>124.57922559930938</c:v>
                </c:pt>
                <c:pt idx="47">
                  <c:v>127.07081011129557</c:v>
                </c:pt>
                <c:pt idx="48">
                  <c:v>129.61222631352149</c:v>
                </c:pt>
                <c:pt idx="49">
                  <c:v>132.20447083979192</c:v>
                </c:pt>
                <c:pt idx="50">
                  <c:v>134.84856025658777</c:v>
                </c:pt>
                <c:pt idx="51">
                  <c:v>137.54553146171952</c:v>
                </c:pt>
                <c:pt idx="52">
                  <c:v>140.29644209095392</c:v>
                </c:pt>
                <c:pt idx="53">
                  <c:v>143.102370932773</c:v>
                </c:pt>
                <c:pt idx="54">
                  <c:v>145.96441835142846</c:v>
                </c:pt>
                <c:pt idx="55">
                  <c:v>148.88370671845703</c:v>
                </c:pt>
                <c:pt idx="56">
                  <c:v>151.86138085282619</c:v>
                </c:pt>
                <c:pt idx="57">
                  <c:v>154.8986084698827</c:v>
                </c:pt>
                <c:pt idx="58">
                  <c:v>157.99658063928035</c:v>
                </c:pt>
                <c:pt idx="59">
                  <c:v>161.15651225206597</c:v>
                </c:pt>
                <c:pt idx="60">
                  <c:v>164.37964249710728</c:v>
                </c:pt>
                <c:pt idx="61">
                  <c:v>167.66723534704943</c:v>
                </c:pt>
                <c:pt idx="62">
                  <c:v>171.02058005399041</c:v>
                </c:pt>
                <c:pt idx="63">
                  <c:v>174.44099165507023</c:v>
                </c:pt>
                <c:pt idx="64">
                  <c:v>177.92981148817165</c:v>
                </c:pt>
                <c:pt idx="65">
                  <c:v>181.48840771793508</c:v>
                </c:pt>
                <c:pt idx="66">
                  <c:v>185.11817587229379</c:v>
                </c:pt>
                <c:pt idx="67">
                  <c:v>188.82053938973968</c:v>
                </c:pt>
                <c:pt idx="68">
                  <c:v>192.59695017753447</c:v>
                </c:pt>
                <c:pt idx="69">
                  <c:v>196.44888918108515</c:v>
                </c:pt>
                <c:pt idx="70">
                  <c:v>200.37786696470687</c:v>
                </c:pt>
                <c:pt idx="71">
                  <c:v>204.38542430400102</c:v>
                </c:pt>
                <c:pt idx="72">
                  <c:v>208.47313279008105</c:v>
                </c:pt>
                <c:pt idx="73">
                  <c:v>212.64259544588268</c:v>
                </c:pt>
                <c:pt idx="74">
                  <c:v>216.89544735480033</c:v>
                </c:pt>
                <c:pt idx="75">
                  <c:v>221.23335630189632</c:v>
                </c:pt>
                <c:pt idx="76">
                  <c:v>225.65802342793424</c:v>
                </c:pt>
                <c:pt idx="77">
                  <c:v>230.17118389649292</c:v>
                </c:pt>
                <c:pt idx="78">
                  <c:v>234.77460757442279</c:v>
                </c:pt>
                <c:pt idx="79">
                  <c:v>239.47009972591124</c:v>
                </c:pt>
                <c:pt idx="80">
                  <c:v>244.25950172042945</c:v>
                </c:pt>
                <c:pt idx="81">
                  <c:v>249.14469175483805</c:v>
                </c:pt>
                <c:pt idx="82">
                  <c:v>254.12758558993482</c:v>
                </c:pt>
                <c:pt idx="83">
                  <c:v>259.21013730173354</c:v>
                </c:pt>
                <c:pt idx="84">
                  <c:v>264.3943400477682</c:v>
                </c:pt>
                <c:pt idx="85">
                  <c:v>269.68222684872359</c:v>
                </c:pt>
                <c:pt idx="86">
                  <c:v>275.07587138569806</c:v>
                </c:pt>
                <c:pt idx="87">
                  <c:v>280.57738881341203</c:v>
                </c:pt>
                <c:pt idx="88">
                  <c:v>286.18893658968028</c:v>
                </c:pt>
                <c:pt idx="89">
                  <c:v>291.91271532147391</c:v>
                </c:pt>
                <c:pt idx="90">
                  <c:v>297.75096962790337</c:v>
                </c:pt>
                <c:pt idx="91">
                  <c:v>303.70598902046146</c:v>
                </c:pt>
                <c:pt idx="92">
                  <c:v>309.78010880087072</c:v>
                </c:pt>
                <c:pt idx="93">
                  <c:v>315.97571097688814</c:v>
                </c:pt>
                <c:pt idx="94">
                  <c:v>322.29522519642592</c:v>
                </c:pt>
                <c:pt idx="95">
                  <c:v>328.74112970035446</c:v>
                </c:pt>
                <c:pt idx="96">
                  <c:v>335.31595229436158</c:v>
                </c:pt>
                <c:pt idx="97">
                  <c:v>342.02227134024884</c:v>
                </c:pt>
                <c:pt idx="98">
                  <c:v>348.86271676705383</c:v>
                </c:pt>
                <c:pt idx="99">
                  <c:v>355.83997110239488</c:v>
                </c:pt>
                <c:pt idx="100">
                  <c:v>362.95677052444279</c:v>
                </c:pt>
                <c:pt idx="101">
                  <c:v>370.21590593493164</c:v>
                </c:pt>
                <c:pt idx="102">
                  <c:v>377.6202240536303</c:v>
                </c:pt>
                <c:pt idx="103">
                  <c:v>385.17262853470288</c:v>
                </c:pt>
                <c:pt idx="104">
                  <c:v>392.87608110539696</c:v>
                </c:pt>
                <c:pt idx="105">
                  <c:v>400.73360272750489</c:v>
                </c:pt>
                <c:pt idx="106">
                  <c:v>408.74827478205498</c:v>
                </c:pt>
                <c:pt idx="107">
                  <c:v>416.9232402776961</c:v>
                </c:pt>
                <c:pt idx="108">
                  <c:v>425.26170508325004</c:v>
                </c:pt>
                <c:pt idx="109">
                  <c:v>433.76693918491503</c:v>
                </c:pt>
                <c:pt idx="110">
                  <c:v>442.44227796861333</c:v>
                </c:pt>
                <c:pt idx="111">
                  <c:v>451.29112352798558</c:v>
                </c:pt>
                <c:pt idx="112">
                  <c:v>460.31694599854529</c:v>
                </c:pt>
                <c:pt idx="113">
                  <c:v>469.5232849185162</c:v>
                </c:pt>
                <c:pt idx="114">
                  <c:v>478.91375061688655</c:v>
                </c:pt>
                <c:pt idx="115">
                  <c:v>488.49202562922426</c:v>
                </c:pt>
                <c:pt idx="116">
                  <c:v>498.26186614180875</c:v>
                </c:pt>
                <c:pt idx="117">
                  <c:v>508.22710346464493</c:v>
                </c:pt>
                <c:pt idx="118">
                  <c:v>518.39164553393789</c:v>
                </c:pt>
                <c:pt idx="119">
                  <c:v>528.75947844461666</c:v>
                </c:pt>
                <c:pt idx="120">
                  <c:v>539.33466801350903</c:v>
                </c:pt>
                <c:pt idx="121">
                  <c:v>550.12136137377922</c:v>
                </c:pt>
                <c:pt idx="122">
                  <c:v>561.12378860125477</c:v>
                </c:pt>
                <c:pt idx="123">
                  <c:v>572.34626437327984</c:v>
                </c:pt>
                <c:pt idx="124">
                  <c:v>583.7931896607455</c:v>
                </c:pt>
                <c:pt idx="125">
                  <c:v>595.46905345396044</c:v>
                </c:pt>
                <c:pt idx="126">
                  <c:v>607.37843452303969</c:v>
                </c:pt>
                <c:pt idx="127">
                  <c:v>619.52600321350053</c:v>
                </c:pt>
                <c:pt idx="128">
                  <c:v>631.91652327777058</c:v>
                </c:pt>
                <c:pt idx="129">
                  <c:v>644.55485374332602</c:v>
                </c:pt>
                <c:pt idx="130">
                  <c:v>657.4459508181925</c:v>
                </c:pt>
                <c:pt idx="131">
                  <c:v>670.59486983455633</c:v>
                </c:pt>
                <c:pt idx="132">
                  <c:v>684.00676723124752</c:v>
                </c:pt>
                <c:pt idx="133">
                  <c:v>697.68690257587252</c:v>
                </c:pt>
                <c:pt idx="134">
                  <c:v>711.64064062738998</c:v>
                </c:pt>
                <c:pt idx="135">
                  <c:v>725.87345343993775</c:v>
                </c:pt>
                <c:pt idx="136">
                  <c:v>740.39092250873648</c:v>
                </c:pt>
                <c:pt idx="137">
                  <c:v>755.19874095891123</c:v>
                </c:pt>
                <c:pt idx="138">
                  <c:v>770.30271577808946</c:v>
                </c:pt>
                <c:pt idx="139">
                  <c:v>785.70877009365131</c:v>
                </c:pt>
                <c:pt idx="140">
                  <c:v>801.42294549552435</c:v>
                </c:pt>
                <c:pt idx="141">
                  <c:v>817.4514044054348</c:v>
                </c:pt>
                <c:pt idx="142">
                  <c:v>833.80043249354355</c:v>
                </c:pt>
                <c:pt idx="143">
                  <c:v>850.47644114341449</c:v>
                </c:pt>
                <c:pt idx="144">
                  <c:v>867.48596996628282</c:v>
                </c:pt>
                <c:pt idx="145">
                  <c:v>884.83568936560846</c:v>
                </c:pt>
                <c:pt idx="146">
                  <c:v>902.53240315292066</c:v>
                </c:pt>
                <c:pt idx="147">
                  <c:v>920.58305121597914</c:v>
                </c:pt>
                <c:pt idx="148">
                  <c:v>938.99471224029878</c:v>
                </c:pt>
                <c:pt idx="149">
                  <c:v>957.77460648510475</c:v>
                </c:pt>
                <c:pt idx="150">
                  <c:v>976.93009861480687</c:v>
                </c:pt>
                <c:pt idx="151">
                  <c:v>996.46870058710306</c:v>
                </c:pt>
                <c:pt idx="152">
                  <c:v>1016.3980745988451</c:v>
                </c:pt>
                <c:pt idx="153">
                  <c:v>1036.7260360908222</c:v>
                </c:pt>
                <c:pt idx="154">
                  <c:v>1057.4605568126385</c:v>
                </c:pt>
                <c:pt idx="155">
                  <c:v>1078.6097679488912</c:v>
                </c:pt>
                <c:pt idx="156">
                  <c:v>1100.181963307869</c:v>
                </c:pt>
                <c:pt idx="157">
                  <c:v>1122.1856025740265</c:v>
                </c:pt>
                <c:pt idx="158">
                  <c:v>1144.629314625507</c:v>
                </c:pt>
                <c:pt idx="159">
                  <c:v>1167.5219009180173</c:v>
                </c:pt>
                <c:pt idx="160">
                  <c:v>1190.8723389363777</c:v>
                </c:pt>
                <c:pt idx="161">
                  <c:v>1214.6897857151052</c:v>
                </c:pt>
                <c:pt idx="162">
                  <c:v>1238.9835814294074</c:v>
                </c:pt>
                <c:pt idx="163">
                  <c:v>1263.7632530579956</c:v>
                </c:pt>
                <c:pt idx="164">
                  <c:v>1289.0385181191555</c:v>
                </c:pt>
                <c:pt idx="165">
                  <c:v>1314.8192884815387</c:v>
                </c:pt>
                <c:pt idx="166">
                  <c:v>1341.1156742511696</c:v>
                </c:pt>
                <c:pt idx="167">
                  <c:v>1367.937987736193</c:v>
                </c:pt>
                <c:pt idx="168">
                  <c:v>1395.2967474909169</c:v>
                </c:pt>
                <c:pt idx="169">
                  <c:v>1423.2026824407353</c:v>
                </c:pt>
              </c:numCache>
            </c:numRef>
          </c:cat>
          <c:val>
            <c:numRef>
              <c:f>'Belichtung-Bildweite'!$N$99:$N$268</c:f>
              <c:numCache>
                <c:formatCode>0.00%</c:formatCode>
                <c:ptCount val="170"/>
                <c:pt idx="0" formatCode="0.0000%">
                  <c:v>3.9840478723192411E-6</c:v>
                </c:pt>
                <c:pt idx="1">
                  <c:v>4.6503687738715804E-4</c:v>
                </c:pt>
                <c:pt idx="2">
                  <c:v>1.6605396249332676E-3</c:v>
                </c:pt>
                <c:pt idx="3">
                  <c:v>3.5472206823029487E-3</c:v>
                </c:pt>
                <c:pt idx="4">
                  <c:v>6.0837779859214394E-3</c:v>
                </c:pt>
                <c:pt idx="5">
                  <c:v>9.2307968653549781E-3</c:v>
                </c:pt>
                <c:pt idx="6">
                  <c:v>1.2950671193070475E-2</c:v>
                </c:pt>
                <c:pt idx="7">
                  <c:v>1.7207527705075172E-2</c:v>
                </c:pt>
                <c:pt idx="8">
                  <c:v>2.196715336716874E-2</c:v>
                </c:pt>
                <c:pt idx="9">
                  <c:v>2.7196925666447425E-2</c:v>
                </c:pt>
                <c:pt idx="10">
                  <c:v>3.2865745712414095E-2</c:v>
                </c:pt>
                <c:pt idx="11">
                  <c:v>3.8943974036579641E-2</c:v>
                </c:pt>
                <c:pt idx="12">
                  <c:v>4.5403368983794462E-2</c:v>
                </c:pt>
                <c:pt idx="13">
                  <c:v>5.2217027592734347E-2</c:v>
                </c:pt>
                <c:pt idx="14">
                  <c:v>5.9359328866985028E-2</c:v>
                </c:pt>
                <c:pt idx="15">
                  <c:v>6.6805879342034372E-2</c:v>
                </c:pt>
                <c:pt idx="16">
                  <c:v>7.4533460857195311E-2</c:v>
                </c:pt>
                <c:pt idx="17">
                  <c:v>8.2519980445050295E-2</c:v>
                </c:pt>
                <c:pt idx="18">
                  <c:v>9.0744422254436644E-2</c:v>
                </c:pt>
                <c:pt idx="19">
                  <c:v>9.9186801426290647E-2</c:v>
                </c:pt>
                <c:pt idx="20">
                  <c:v>0.10782811984483028</c:v>
                </c:pt>
                <c:pt idx="21">
                  <c:v>0.11665032368960424</c:v>
                </c:pt>
                <c:pt idx="22">
                  <c:v>0.12563626271685699</c:v>
                </c:pt>
                <c:pt idx="23">
                  <c:v>0.13476965120146847</c:v>
                </c:pt>
                <c:pt idx="24">
                  <c:v>0.14403503047343075</c:v>
                </c:pt>
                <c:pt idx="25">
                  <c:v>0.153417732985417</c:v>
                </c:pt>
                <c:pt idx="26">
                  <c:v>0.16290384785048961</c:v>
                </c:pt>
                <c:pt idx="27">
                  <c:v>0.17248018779139598</c:v>
                </c:pt>
                <c:pt idx="28">
                  <c:v>0.18213425744519707</c:v>
                </c:pt>
                <c:pt idx="29">
                  <c:v>0.19185422296919</c:v>
                </c:pt>
                <c:pt idx="30">
                  <c:v>0.20162888289621059</c:v>
                </c:pt>
                <c:pt idx="31">
                  <c:v>0.21144764018944667</c:v>
                </c:pt>
                <c:pt idx="32">
                  <c:v>0.22130047544885204</c:v>
                </c:pt>
                <c:pt idx="33">
                  <c:v>0.23117792122314207</c:v>
                </c:pt>
                <c:pt idx="34">
                  <c:v>0.24107103738316113</c:v>
                </c:pt>
                <c:pt idx="35">
                  <c:v>0.25097138751415682</c:v>
                </c:pt>
                <c:pt idx="36">
                  <c:v>0.26087101628616399</c:v>
                </c:pt>
                <c:pt idx="37">
                  <c:v>0.27076242776331827</c:v>
                </c:pt>
                <c:pt idx="38">
                  <c:v>0.28063856461445541</c:v>
                </c:pt>
                <c:pt idx="39">
                  <c:v>0.29049278818884289</c:v>
                </c:pt>
                <c:pt idx="40">
                  <c:v>0.30031885942231562</c:v>
                </c:pt>
                <c:pt idx="41">
                  <c:v>0.31011092054045575</c:v>
                </c:pt>
                <c:pt idx="42">
                  <c:v>0.31986347752678029</c:v>
                </c:pt>
                <c:pt idx="43">
                  <c:v>0.32957138332515629</c:v>
                </c:pt>
                <c:pt idx="44">
                  <c:v>0.33922982174688804</c:v>
                </c:pt>
                <c:pt idx="45">
                  <c:v>0.3488342920540855</c:v>
                </c:pt>
                <c:pt idx="46">
                  <c:v>0.35838059419204321</c:v>
                </c:pt>
                <c:pt idx="47">
                  <c:v>0.36786481464444309</c:v>
                </c:pt>
                <c:pt idx="48">
                  <c:v>0.37728331288622713</c:v>
                </c:pt>
                <c:pt idx="49">
                  <c:v>0.38663270840998126</c:v>
                </c:pt>
                <c:pt idx="50">
                  <c:v>0.39590986830263086</c:v>
                </c:pt>
                <c:pt idx="51">
                  <c:v>0.4051118953501664</c:v>
                </c:pt>
                <c:pt idx="52">
                  <c:v>0.41423611664899973</c:v>
                </c:pt>
                <c:pt idx="53">
                  <c:v>0.42328007270340301</c:v>
                </c:pt>
                <c:pt idx="54">
                  <c:v>0.4322415069892912</c:v>
                </c:pt>
                <c:pt idx="55">
                  <c:v>0.44111835596540228</c:v>
                </c:pt>
                <c:pt idx="56">
                  <c:v>0.44990873951367111</c:v>
                </c:pt>
                <c:pt idx="57">
                  <c:v>0.45861095179132216</c:v>
                </c:pt>
                <c:pt idx="58">
                  <c:v>0.46722345247790154</c:v>
                </c:pt>
                <c:pt idx="59">
                  <c:v>0.47574485840113007</c:v>
                </c:pt>
                <c:pt idx="60">
                  <c:v>0.48417393552610505</c:v>
                </c:pt>
                <c:pt idx="61">
                  <c:v>0.49250959129299482</c:v>
                </c:pt>
                <c:pt idx="62">
                  <c:v>0.50075086728895901</c:v>
                </c:pt>
                <c:pt idx="63">
                  <c:v>0.50889693224059418</c:v>
                </c:pt>
                <c:pt idx="64">
                  <c:v>0.51694707531375672</c:v>
                </c:pt>
                <c:pt idx="65">
                  <c:v>0.5249006997081348</c:v>
                </c:pt>
                <c:pt idx="66">
                  <c:v>0.5327573165344438</c:v>
                </c:pt>
                <c:pt idx="67">
                  <c:v>0.54051653896260987</c:v>
                </c:pt>
                <c:pt idx="68">
                  <c:v>0.54817807662976292</c:v>
                </c:pt>
                <c:pt idx="69">
                  <c:v>0.55574173029731566</c:v>
                </c:pt>
                <c:pt idx="70">
                  <c:v>0.56320738674682647</c:v>
                </c:pt>
                <c:pt idx="71">
                  <c:v>0.57057501390476284</c:v>
                </c:pt>
                <c:pt idx="72">
                  <c:v>0.57784465618667313</c:v>
                </c:pt>
                <c:pt idx="73">
                  <c:v>0.58501643005165649</c:v>
                </c:pt>
                <c:pt idx="74">
                  <c:v>0.59209051975838889</c:v>
                </c:pt>
                <c:pt idx="75">
                  <c:v>0.59906717331430559</c:v>
                </c:pt>
                <c:pt idx="76">
                  <c:v>0.60594669860989214</c:v>
                </c:pt>
                <c:pt idx="77">
                  <c:v>0.61272945973034121</c:v>
                </c:pt>
                <c:pt idx="78">
                  <c:v>0.6194158734371612</c:v>
                </c:pt>
                <c:pt idx="79">
                  <c:v>0.62600640581260791</c:v>
                </c:pt>
                <c:pt idx="80">
                  <c:v>0.63250156906010524</c:v>
                </c:pt>
                <c:pt idx="81">
                  <c:v>0.63890191845409439</c:v>
                </c:pt>
                <c:pt idx="82">
                  <c:v>0.64520804943301513</c:v>
                </c:pt>
                <c:pt idx="83">
                  <c:v>0.65142059482937353</c:v>
                </c:pt>
                <c:pt idx="84">
                  <c:v>0.65754022223110453</c:v>
                </c:pt>
                <c:pt idx="85">
                  <c:v>0.6635676314686606</c:v>
                </c:pt>
                <c:pt idx="86">
                  <c:v>0.66950355222248981</c:v>
                </c:pt>
                <c:pt idx="87">
                  <c:v>0.6753487417457813</c:v>
                </c:pt>
                <c:pt idx="88">
                  <c:v>0.68110398269756545</c:v>
                </c:pt>
                <c:pt idx="89">
                  <c:v>0.68677008108144943</c:v>
                </c:pt>
                <c:pt idx="90">
                  <c:v>0.69234786428546802</c:v>
                </c:pt>
                <c:pt idx="91">
                  <c:v>0.69783817921870983</c:v>
                </c:pt>
                <c:pt idx="92">
                  <c:v>0.70324189054055575</c:v>
                </c:pt>
                <c:pt idx="93">
                  <c:v>0.70855987897853268</c:v>
                </c:pt>
                <c:pt idx="94">
                  <c:v>0.71379303973096075</c:v>
                </c:pt>
                <c:pt idx="95">
                  <c:v>0.71894228095070789</c:v>
                </c:pt>
                <c:pt idx="96">
                  <c:v>0.72400852230653912</c:v>
                </c:pt>
                <c:pt idx="97">
                  <c:v>0.72899269361867336</c:v>
                </c:pt>
                <c:pt idx="98">
                  <c:v>0.73389573356531024</c:v>
                </c:pt>
                <c:pt idx="99">
                  <c:v>0.73871858845701455</c:v>
                </c:pt>
                <c:pt idx="100">
                  <c:v>0.74346221107598387</c:v>
                </c:pt>
                <c:pt idx="101">
                  <c:v>0.74812755957733335</c:v>
                </c:pt>
                <c:pt idx="102">
                  <c:v>0.7527155964496629</c:v>
                </c:pt>
                <c:pt idx="103">
                  <c:v>0.75722728753227586</c:v>
                </c:pt>
                <c:pt idx="104">
                  <c:v>0.76166360108653441</c:v>
                </c:pt>
                <c:pt idx="105">
                  <c:v>0.7660255069189259</c:v>
                </c:pt>
                <c:pt idx="106">
                  <c:v>0.77031397555353909</c:v>
                </c:pt>
                <c:pt idx="107">
                  <c:v>0.77452997745172136</c:v>
                </c:pt>
                <c:pt idx="108">
                  <c:v>0.77867448227678993</c:v>
                </c:pt>
                <c:pt idx="109">
                  <c:v>0.7827484582017632</c:v>
                </c:pt>
                <c:pt idx="110">
                  <c:v>0.78675287125815352</c:v>
                </c:pt>
                <c:pt idx="111">
                  <c:v>0.79068868472395282</c:v>
                </c:pt>
                <c:pt idx="112">
                  <c:v>0.79455685854901104</c:v>
                </c:pt>
                <c:pt idx="113">
                  <c:v>0.79835834881609402</c:v>
                </c:pt>
                <c:pt idx="114">
                  <c:v>0.80209410723596952</c:v>
                </c:pt>
                <c:pt idx="115">
                  <c:v>0.8057650806749459</c:v>
                </c:pt>
                <c:pt idx="116">
                  <c:v>0.80937221071334642</c:v>
                </c:pt>
                <c:pt idx="117">
                  <c:v>0.81291643323347851</c:v>
                </c:pt>
                <c:pt idx="118">
                  <c:v>0.81639867803570298</c:v>
                </c:pt>
                <c:pt idx="119">
                  <c:v>0.81981986848128185</c:v>
                </c:pt>
                <c:pt idx="120">
                  <c:v>0.82318092116072461</c:v>
                </c:pt>
                <c:pt idx="121">
                  <c:v>0.82648274558642099</c:v>
                </c:pt>
                <c:pt idx="122">
                  <c:v>0.82972624390839278</c:v>
                </c:pt>
                <c:pt idx="123">
                  <c:v>0.83291231065204141</c:v>
                </c:pt>
                <c:pt idx="124">
                  <c:v>0.83604183247683106</c:v>
                </c:pt>
                <c:pt idx="125">
                  <c:v>0.83911568795487923</c:v>
                </c:pt>
                <c:pt idx="126">
                  <c:v>0.84213474736847294</c:v>
                </c:pt>
                <c:pt idx="127">
                  <c:v>0.84509987252557661</c:v>
                </c:pt>
                <c:pt idx="128">
                  <c:v>0.84801191659243524</c:v>
                </c:pt>
                <c:pt idx="129">
                  <c:v>0.85087172394241006</c:v>
                </c:pt>
                <c:pt idx="130">
                  <c:v>0.85368013002022813</c:v>
                </c:pt>
                <c:pt idx="131">
                  <c:v>0.85643796122086147</c:v>
                </c:pt>
                <c:pt idx="132">
                  <c:v>0.85914603478228146</c:v>
                </c:pt>
                <c:pt idx="133">
                  <c:v>0.86180515869136953</c:v>
                </c:pt>
                <c:pt idx="134">
                  <c:v>0.86441613160230235</c:v>
                </c:pt>
                <c:pt idx="135">
                  <c:v>0.86697974276674772</c:v>
                </c:pt>
                <c:pt idx="136">
                  <c:v>0.86949677197524355</c:v>
                </c:pt>
                <c:pt idx="137">
                  <c:v>0.87196798950916721</c:v>
                </c:pt>
                <c:pt idx="138">
                  <c:v>0.87439415610270943</c:v>
                </c:pt>
                <c:pt idx="139">
                  <c:v>0.87677602291431667</c:v>
                </c:pt>
                <c:pt idx="140">
                  <c:v>0.87911433150706386</c:v>
                </c:pt>
                <c:pt idx="141">
                  <c:v>0.8814098138374733</c:v>
                </c:pt>
                <c:pt idx="142">
                  <c:v>0.88366319225228829</c:v>
                </c:pt>
                <c:pt idx="143">
                  <c:v>0.88587517949274952</c:v>
                </c:pt>
                <c:pt idx="144">
                  <c:v>0.88804647870593911</c:v>
                </c:pt>
                <c:pt idx="145">
                  <c:v>0.89017778346277843</c:v>
                </c:pt>
                <c:pt idx="146">
                  <c:v>0.89226977778227201</c:v>
                </c:pt>
                <c:pt idx="147">
                  <c:v>0.89432313616163339</c:v>
                </c:pt>
                <c:pt idx="148">
                  <c:v>0.89633852361191935</c:v>
                </c:pt>
                <c:pt idx="149">
                  <c:v>0.89831659569883071</c:v>
                </c:pt>
                <c:pt idx="150">
                  <c:v>0.90025799858835553</c:v>
                </c:pt>
                <c:pt idx="151">
                  <c:v>0.90216336909693229</c:v>
                </c:pt>
                <c:pt idx="152">
                  <c:v>0.90403333474584047</c:v>
                </c:pt>
                <c:pt idx="153">
                  <c:v>0.90586851381953104</c:v>
                </c:pt>
                <c:pt idx="154">
                  <c:v>0.9076695154276273</c:v>
                </c:pt>
                <c:pt idx="155">
                  <c:v>0.90943693957033145</c:v>
                </c:pt>
                <c:pt idx="156">
                  <c:v>0.9111713772069977</c:v>
                </c:pt>
                <c:pt idx="157">
                  <c:v>0.91287341032763292</c:v>
                </c:pt>
                <c:pt idx="158">
                  <c:v>0.91454361202710199</c:v>
                </c:pt>
                <c:pt idx="159">
                  <c:v>0.91618254658182763</c:v>
                </c:pt>
                <c:pt idx="160">
                  <c:v>0.91779076952877858</c:v>
                </c:pt>
                <c:pt idx="161">
                  <c:v>0.91936882774655637</c:v>
                </c:pt>
                <c:pt idx="162">
                  <c:v>0.92091725953839954</c:v>
                </c:pt>
                <c:pt idx="163">
                  <c:v>0.9224365947169284</c:v>
                </c:pt>
                <c:pt idx="164">
                  <c:v>0.92392735469046594</c:v>
                </c:pt>
                <c:pt idx="165">
                  <c:v>0.92539005255077944</c:v>
                </c:pt>
                <c:pt idx="166">
                  <c:v>0.92682519316209389</c:v>
                </c:pt>
                <c:pt idx="167">
                  <c:v>0.92823327325123794</c:v>
                </c:pt>
                <c:pt idx="168">
                  <c:v>0.92961478149877896</c:v>
                </c:pt>
                <c:pt idx="169">
                  <c:v>0.93097019863103769</c:v>
                </c:pt>
              </c:numCache>
            </c:numRef>
          </c:val>
          <c:smooth val="0"/>
        </c:ser>
        <c:dLbls>
          <c:showLegendKey val="0"/>
          <c:showVal val="0"/>
          <c:showCatName val="0"/>
          <c:showSerName val="0"/>
          <c:showPercent val="0"/>
          <c:showBubbleSize val="0"/>
        </c:dLbls>
        <c:marker val="1"/>
        <c:smooth val="0"/>
        <c:axId val="1334958080"/>
        <c:axId val="1341617792"/>
      </c:lineChart>
      <c:catAx>
        <c:axId val="133495808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de-DE"/>
                  <a:t>Gegenstandsweite bei f = 50 mm</a:t>
                </a:r>
              </a:p>
            </c:rich>
          </c:tx>
          <c:layout>
            <c:manualLayout>
              <c:xMode val="edge"/>
              <c:yMode val="edge"/>
              <c:x val="0.3145479750810965"/>
              <c:y val="0.88720173535791758"/>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5400000" vert="horz"/>
          <a:lstStyle/>
          <a:p>
            <a:pPr>
              <a:defRPr sz="1525" b="0" i="0" u="none" strike="noStrike" baseline="0">
                <a:solidFill>
                  <a:srgbClr val="000000"/>
                </a:solidFill>
                <a:latin typeface="Arial"/>
                <a:ea typeface="Arial"/>
                <a:cs typeface="Arial"/>
              </a:defRPr>
            </a:pPr>
            <a:endParaRPr lang="de-DE"/>
          </a:p>
        </c:txPr>
        <c:crossAx val="1341617792"/>
        <c:crosses val="autoZero"/>
        <c:auto val="1"/>
        <c:lblAlgn val="ctr"/>
        <c:lblOffset val="100"/>
        <c:tickLblSkip val="13"/>
        <c:tickMarkSkip val="1"/>
        <c:noMultiLvlLbl val="0"/>
      </c:catAx>
      <c:valAx>
        <c:axId val="1341617792"/>
        <c:scaling>
          <c:orientation val="minMax"/>
        </c:scaling>
        <c:delete val="0"/>
        <c:axPos val="l"/>
        <c:majorGridlines>
          <c:spPr>
            <a:ln w="3175">
              <a:solidFill>
                <a:srgbClr val="000000"/>
              </a:solidFill>
              <a:prstDash val="solid"/>
            </a:ln>
          </c:spPr>
        </c:majorGridlines>
        <c:title>
          <c:tx>
            <c:rich>
              <a:bodyPr/>
              <a:lstStyle/>
              <a:p>
                <a:pPr>
                  <a:defRPr sz="1525" b="1" i="0" u="none" strike="noStrike" baseline="0">
                    <a:solidFill>
                      <a:srgbClr val="000000"/>
                    </a:solidFill>
                    <a:latin typeface="Arial"/>
                    <a:ea typeface="Arial"/>
                    <a:cs typeface="Arial"/>
                  </a:defRPr>
                </a:pPr>
                <a:r>
                  <a:rPr lang="de-DE"/>
                  <a:t>Intensität</a:t>
                </a:r>
              </a:p>
            </c:rich>
          </c:tx>
          <c:layout>
            <c:manualLayout>
              <c:xMode val="edge"/>
              <c:yMode val="edge"/>
              <c:x val="2.2280471821756225E-2"/>
              <c:y val="0.37744034707158353"/>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525" b="0" i="0" u="none" strike="noStrike" baseline="0">
                <a:solidFill>
                  <a:srgbClr val="000000"/>
                </a:solidFill>
                <a:latin typeface="Arial"/>
                <a:ea typeface="Arial"/>
                <a:cs typeface="Arial"/>
              </a:defRPr>
            </a:pPr>
            <a:endParaRPr lang="de-DE"/>
          </a:p>
        </c:txPr>
        <c:crossAx val="1334958080"/>
        <c:crosses val="autoZero"/>
        <c:crossBetween val="between"/>
      </c:valAx>
      <c:spPr>
        <a:solidFill>
          <a:srgbClr val="C0C0C0"/>
        </a:solidFill>
        <a:ln w="12700">
          <a:solidFill>
            <a:srgbClr val="808080"/>
          </a:solidFill>
          <a:prstDash val="solid"/>
        </a:ln>
      </c:spPr>
    </c:plotArea>
    <c:legend>
      <c:legendPos val="r"/>
      <c:layout>
        <c:manualLayout>
          <c:xMode val="edge"/>
          <c:yMode val="edge"/>
          <c:x val="0.71297551108863688"/>
          <c:y val="0.4403470715835141"/>
          <c:w val="0.27391887940612925"/>
          <c:h val="0.1084598698481562"/>
        </c:manualLayout>
      </c:layout>
      <c:overlay val="0"/>
      <c:spPr>
        <a:solidFill>
          <a:srgbClr val="FFFFFF"/>
        </a:solidFill>
        <a:ln w="3175">
          <a:solidFill>
            <a:srgbClr val="000000"/>
          </a:solidFill>
          <a:prstDash val="solid"/>
        </a:ln>
      </c:spPr>
      <c:txPr>
        <a:bodyPr/>
        <a:lstStyle/>
        <a:p>
          <a:pPr>
            <a:defRPr sz="10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5714325183036327"/>
          <c:y val="3.4285714285714287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title>
    <c:autoTitleDeleted val="0"/>
    <c:plotArea>
      <c:layout>
        <c:manualLayout>
          <c:layoutTarget val="inner"/>
          <c:xMode val="edge"/>
          <c:yMode val="edge"/>
          <c:x val="0.16165428370818744"/>
          <c:y val="0.17142857142857143"/>
          <c:w val="0.81579022243434129"/>
          <c:h val="0.62"/>
        </c:manualLayout>
      </c:layout>
      <c:lineChart>
        <c:grouping val="standard"/>
        <c:varyColors val="0"/>
        <c:ser>
          <c:idx val="0"/>
          <c:order val="0"/>
          <c:tx>
            <c:v>Brennweiten-Änderungsfaktor</c:v>
          </c:tx>
          <c:spPr>
            <a:ln w="25400">
              <a:solidFill>
                <a:srgbClr val="FF0000"/>
              </a:solidFill>
              <a:prstDash val="solid"/>
            </a:ln>
          </c:spPr>
          <c:marker>
            <c:symbol val="none"/>
          </c:marker>
          <c:cat>
            <c:strRef>
              <c:f>'Abb.-maßstab-Brennweite'!$C$11:$T$11</c:f>
              <c:strCache>
                <c:ptCount val="18"/>
                <c:pt idx="0">
                  <c:v>1 : 2</c:v>
                </c:pt>
                <c:pt idx="1">
                  <c:v>1 : 4</c:v>
                </c:pt>
                <c:pt idx="2">
                  <c:v>1 : 8</c:v>
                </c:pt>
                <c:pt idx="3">
                  <c:v>1 : 16</c:v>
                </c:pt>
                <c:pt idx="4">
                  <c:v>1 : 32</c:v>
                </c:pt>
                <c:pt idx="5">
                  <c:v>1 : 64</c:v>
                </c:pt>
                <c:pt idx="6">
                  <c:v>1 : 128</c:v>
                </c:pt>
                <c:pt idx="7">
                  <c:v>1 : 256</c:v>
                </c:pt>
                <c:pt idx="8">
                  <c:v>1 : 512</c:v>
                </c:pt>
                <c:pt idx="9">
                  <c:v>1 : 1024</c:v>
                </c:pt>
                <c:pt idx="10">
                  <c:v>1 : 2048</c:v>
                </c:pt>
                <c:pt idx="11">
                  <c:v>1 : 4096</c:v>
                </c:pt>
                <c:pt idx="12">
                  <c:v>1 : 8192</c:v>
                </c:pt>
                <c:pt idx="13">
                  <c:v>1 : 16384</c:v>
                </c:pt>
                <c:pt idx="14">
                  <c:v>1 : 32768</c:v>
                </c:pt>
                <c:pt idx="15">
                  <c:v>1 : 65536</c:v>
                </c:pt>
                <c:pt idx="16">
                  <c:v>1 : 131072</c:v>
                </c:pt>
                <c:pt idx="17">
                  <c:v>1 : 262144</c:v>
                </c:pt>
              </c:strCache>
            </c:strRef>
          </c:cat>
          <c:val>
            <c:numRef>
              <c:f>'Abb.-maßstab-Brennweite'!$C$19:$T$19</c:f>
              <c:numCache>
                <c:formatCode>0.00000</c:formatCode>
                <c:ptCount val="18"/>
                <c:pt idx="0">
                  <c:v>0.66666666666666663</c:v>
                </c:pt>
                <c:pt idx="1">
                  <c:v>0.6</c:v>
                </c:pt>
                <c:pt idx="2">
                  <c:v>0.55555555555555547</c:v>
                </c:pt>
                <c:pt idx="3">
                  <c:v>0.52941176470588236</c:v>
                </c:pt>
                <c:pt idx="4">
                  <c:v>0.51515151515151514</c:v>
                </c:pt>
                <c:pt idx="5">
                  <c:v>0.50769230769230766</c:v>
                </c:pt>
                <c:pt idx="6">
                  <c:v>0.50387596899224807</c:v>
                </c:pt>
                <c:pt idx="7">
                  <c:v>0.50194552529182879</c:v>
                </c:pt>
                <c:pt idx="8">
                  <c:v>0.50097465886939574</c:v>
                </c:pt>
                <c:pt idx="9">
                  <c:v>0.50048780487804878</c:v>
                </c:pt>
                <c:pt idx="10">
                  <c:v>0.50024402147388969</c:v>
                </c:pt>
                <c:pt idx="11">
                  <c:v>0.50012204051745179</c:v>
                </c:pt>
                <c:pt idx="12">
                  <c:v>0.50006102770657879</c:v>
                </c:pt>
                <c:pt idx="13">
                  <c:v>0.50003051571559354</c:v>
                </c:pt>
                <c:pt idx="14">
                  <c:v>0.50001525832341542</c:v>
                </c:pt>
                <c:pt idx="15">
                  <c:v>0.5000076292781177</c:v>
                </c:pt>
                <c:pt idx="16">
                  <c:v>0.50000381466816202</c:v>
                </c:pt>
                <c:pt idx="17">
                  <c:v>0.50000190734135697</c:v>
                </c:pt>
              </c:numCache>
            </c:numRef>
          </c:val>
          <c:smooth val="0"/>
        </c:ser>
        <c:dLbls>
          <c:showLegendKey val="0"/>
          <c:showVal val="0"/>
          <c:showCatName val="0"/>
          <c:showSerName val="0"/>
          <c:showPercent val="0"/>
          <c:showBubbleSize val="0"/>
        </c:dLbls>
        <c:dropLines>
          <c:spPr>
            <a:ln w="3175">
              <a:solidFill>
                <a:srgbClr val="000000"/>
              </a:solidFill>
              <a:prstDash val="solid"/>
            </a:ln>
          </c:spPr>
        </c:dropLines>
        <c:marker val="1"/>
        <c:smooth val="0"/>
        <c:axId val="1404714496"/>
        <c:axId val="1341619520"/>
      </c:lineChart>
      <c:catAx>
        <c:axId val="140471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de-DE"/>
          </a:p>
        </c:txPr>
        <c:crossAx val="1341619520"/>
        <c:crosses val="autoZero"/>
        <c:auto val="1"/>
        <c:lblAlgn val="ctr"/>
        <c:lblOffset val="100"/>
        <c:tickLblSkip val="1"/>
        <c:tickMarkSkip val="1"/>
        <c:noMultiLvlLbl val="0"/>
      </c:catAx>
      <c:valAx>
        <c:axId val="13416195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a:t>Änderungsfaktor</a:t>
                </a:r>
              </a:p>
            </c:rich>
          </c:tx>
          <c:layout>
            <c:manualLayout>
              <c:xMode val="edge"/>
              <c:yMode val="edge"/>
              <c:x val="3.007518796992481E-2"/>
              <c:y val="0.34"/>
            </c:manualLayout>
          </c:layout>
          <c:overlay val="0"/>
          <c:spPr>
            <a:noFill/>
            <a:ln w="25400">
              <a:noFill/>
            </a:ln>
          </c:spPr>
        </c:title>
        <c:numFmt formatCode="0.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404714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de-DE"/>
              <a:t>Brennweite bei gleichmäßig abnehmendem Abb.-maßstab</a:t>
            </a:r>
          </a:p>
        </c:rich>
      </c:tx>
      <c:layout>
        <c:manualLayout>
          <c:xMode val="edge"/>
          <c:yMode val="edge"/>
          <c:x val="0.27228525121555913"/>
          <c:y val="3.4383954154727794E-2"/>
        </c:manualLayout>
      </c:layout>
      <c:overlay val="0"/>
      <c:spPr>
        <a:noFill/>
        <a:ln w="25400">
          <a:noFill/>
        </a:ln>
      </c:spPr>
    </c:title>
    <c:autoTitleDeleted val="0"/>
    <c:plotArea>
      <c:layout>
        <c:manualLayout>
          <c:layoutTarget val="inner"/>
          <c:xMode val="edge"/>
          <c:yMode val="edge"/>
          <c:x val="0.14910858995137763"/>
          <c:y val="0.17192001130463616"/>
          <c:w val="0.67260940032414906"/>
          <c:h val="0.61318137365320236"/>
        </c:manualLayout>
      </c:layout>
      <c:lineChart>
        <c:grouping val="standard"/>
        <c:varyColors val="0"/>
        <c:ser>
          <c:idx val="0"/>
          <c:order val="0"/>
          <c:tx>
            <c:v>Brennweite bei gleichmäßig abnehmendem Abb.-maßstab</c:v>
          </c:tx>
          <c:spPr>
            <a:ln w="25400">
              <a:solidFill>
                <a:srgbClr val="FF0000"/>
              </a:solidFill>
              <a:prstDash val="solid"/>
            </a:ln>
          </c:spPr>
          <c:marker>
            <c:symbol val="none"/>
          </c:marker>
          <c:cat>
            <c:strRef>
              <c:f>'Abb.-maßstab-Brennweite'!$C$11:$T$11</c:f>
              <c:strCache>
                <c:ptCount val="18"/>
                <c:pt idx="0">
                  <c:v>1 : 2</c:v>
                </c:pt>
                <c:pt idx="1">
                  <c:v>1 : 4</c:v>
                </c:pt>
                <c:pt idx="2">
                  <c:v>1 : 8</c:v>
                </c:pt>
                <c:pt idx="3">
                  <c:v>1 : 16</c:v>
                </c:pt>
                <c:pt idx="4">
                  <c:v>1 : 32</c:v>
                </c:pt>
                <c:pt idx="5">
                  <c:v>1 : 64</c:v>
                </c:pt>
                <c:pt idx="6">
                  <c:v>1 : 128</c:v>
                </c:pt>
                <c:pt idx="7">
                  <c:v>1 : 256</c:v>
                </c:pt>
                <c:pt idx="8">
                  <c:v>1 : 512</c:v>
                </c:pt>
                <c:pt idx="9">
                  <c:v>1 : 1024</c:v>
                </c:pt>
                <c:pt idx="10">
                  <c:v>1 : 2048</c:v>
                </c:pt>
                <c:pt idx="11">
                  <c:v>1 : 4096</c:v>
                </c:pt>
                <c:pt idx="12">
                  <c:v>1 : 8192</c:v>
                </c:pt>
                <c:pt idx="13">
                  <c:v>1 : 16384</c:v>
                </c:pt>
                <c:pt idx="14">
                  <c:v>1 : 32768</c:v>
                </c:pt>
                <c:pt idx="15">
                  <c:v>1 : 65536</c:v>
                </c:pt>
                <c:pt idx="16">
                  <c:v>1 : 131072</c:v>
                </c:pt>
                <c:pt idx="17">
                  <c:v>1 : 262144</c:v>
                </c:pt>
              </c:strCache>
            </c:strRef>
          </c:cat>
          <c:val>
            <c:numRef>
              <c:f>'Abb.-maßstab-Brennweite'!$B$18:$T$18</c:f>
              <c:numCache>
                <c:formatCode>0.000</c:formatCode>
                <c:ptCount val="19"/>
                <c:pt idx="0">
                  <c:v>1500</c:v>
                </c:pt>
                <c:pt idx="1">
                  <c:v>1000</c:v>
                </c:pt>
                <c:pt idx="2">
                  <c:v>600</c:v>
                </c:pt>
                <c:pt idx="3">
                  <c:v>333.33333333333331</c:v>
                </c:pt>
                <c:pt idx="4">
                  <c:v>176.47058823529412</c:v>
                </c:pt>
                <c:pt idx="5">
                  <c:v>90.909090909090907</c:v>
                </c:pt>
                <c:pt idx="6">
                  <c:v>46.153846153846153</c:v>
                </c:pt>
                <c:pt idx="7">
                  <c:v>23.255813953488371</c:v>
                </c:pt>
                <c:pt idx="8">
                  <c:v>11.673151750972762</c:v>
                </c:pt>
                <c:pt idx="9">
                  <c:v>5.8479532163742691</c:v>
                </c:pt>
                <c:pt idx="10">
                  <c:v>2.9268292682926829</c:v>
                </c:pt>
                <c:pt idx="11">
                  <c:v>1.4641288433382138</c:v>
                </c:pt>
                <c:pt idx="12">
                  <c:v>0.73224310471076393</c:v>
                </c:pt>
                <c:pt idx="13">
                  <c:v>0.36616623947272059</c:v>
                </c:pt>
                <c:pt idx="14">
                  <c:v>0.18309429356118401</c:v>
                </c:pt>
                <c:pt idx="15">
                  <c:v>9.1549940492538687E-2</c:v>
                </c:pt>
                <c:pt idx="16">
                  <c:v>4.577566870622702E-2</c:v>
                </c:pt>
                <c:pt idx="17">
                  <c:v>2.2888008972099517E-2</c:v>
                </c:pt>
                <c:pt idx="18">
                  <c:v>1.1444048141295848E-2</c:v>
                </c:pt>
              </c:numCache>
            </c:numRef>
          </c:val>
          <c:smooth val="0"/>
        </c:ser>
        <c:dLbls>
          <c:showLegendKey val="0"/>
          <c:showVal val="0"/>
          <c:showCatName val="0"/>
          <c:showSerName val="0"/>
          <c:showPercent val="0"/>
          <c:showBubbleSize val="0"/>
        </c:dLbls>
        <c:dropLines>
          <c:spPr>
            <a:ln w="3175">
              <a:solidFill>
                <a:srgbClr val="000000"/>
              </a:solidFill>
              <a:prstDash val="solid"/>
            </a:ln>
          </c:spPr>
        </c:dropLines>
        <c:marker val="1"/>
        <c:smooth val="0"/>
        <c:axId val="1405030912"/>
        <c:axId val="1348134016"/>
      </c:lineChart>
      <c:catAx>
        <c:axId val="1405030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de-DE"/>
          </a:p>
        </c:txPr>
        <c:crossAx val="1348134016"/>
        <c:crosses val="autoZero"/>
        <c:auto val="1"/>
        <c:lblAlgn val="ctr"/>
        <c:lblOffset val="100"/>
        <c:tickLblSkip val="1"/>
        <c:tickMarkSkip val="1"/>
        <c:noMultiLvlLbl val="0"/>
      </c:catAx>
      <c:valAx>
        <c:axId val="13481340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a:t>Brennweite</a:t>
                </a:r>
              </a:p>
            </c:rich>
          </c:tx>
          <c:layout>
            <c:manualLayout>
              <c:xMode val="edge"/>
              <c:yMode val="edge"/>
              <c:x val="2.5931928687196109E-2"/>
              <c:y val="0.38108942685889191"/>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405030912"/>
        <c:crosses val="autoZero"/>
        <c:crossBetween val="between"/>
      </c:valAx>
      <c:spPr>
        <a:solidFill>
          <a:srgbClr val="C0C0C0"/>
        </a:solidFill>
        <a:ln w="12700">
          <a:solidFill>
            <a:srgbClr val="808080"/>
          </a:solidFill>
          <a:prstDash val="solid"/>
        </a:ln>
      </c:spPr>
    </c:plotArea>
    <c:legend>
      <c:legendPos val="r"/>
      <c:layout>
        <c:manualLayout>
          <c:xMode val="edge"/>
          <c:yMode val="edge"/>
          <c:x val="0.84278768233387358"/>
          <c:y val="0.43266475644699143"/>
          <c:w val="0.14424635332252833"/>
          <c:h val="0.30945558739255019"/>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de-DE"/>
              <a:t>Bildweiten-Änderungsfaktor</a:t>
            </a:r>
          </a:p>
        </c:rich>
      </c:tx>
      <c:layout>
        <c:manualLayout>
          <c:xMode val="edge"/>
          <c:yMode val="edge"/>
          <c:x val="0.40169731258840169"/>
          <c:y val="3.4285714285714287E-2"/>
        </c:manualLayout>
      </c:layout>
      <c:overlay val="0"/>
      <c:spPr>
        <a:noFill/>
        <a:ln w="25400">
          <a:noFill/>
        </a:ln>
      </c:spPr>
    </c:title>
    <c:autoTitleDeleted val="0"/>
    <c:plotArea>
      <c:layout>
        <c:manualLayout>
          <c:layoutTarget val="inner"/>
          <c:xMode val="edge"/>
          <c:yMode val="edge"/>
          <c:x val="0.10042432814710042"/>
          <c:y val="0.17142857142857143"/>
          <c:w val="0.63083451202263086"/>
          <c:h val="0.62"/>
        </c:manualLayout>
      </c:layout>
      <c:lineChart>
        <c:grouping val="standard"/>
        <c:varyColors val="0"/>
        <c:ser>
          <c:idx val="0"/>
          <c:order val="0"/>
          <c:tx>
            <c:v>Bildweiten-Änderungsfaktor</c:v>
          </c:tx>
          <c:spPr>
            <a:ln w="25400">
              <a:solidFill>
                <a:srgbClr val="FF0000"/>
              </a:solidFill>
              <a:prstDash val="solid"/>
            </a:ln>
          </c:spPr>
          <c:marker>
            <c:symbol val="none"/>
          </c:marker>
          <c:cat>
            <c:strRef>
              <c:f>'Abb.-maßstab-Brennweite'!$C$11:$T$11</c:f>
              <c:strCache>
                <c:ptCount val="18"/>
                <c:pt idx="0">
                  <c:v>1 : 2</c:v>
                </c:pt>
                <c:pt idx="1">
                  <c:v>1 : 4</c:v>
                </c:pt>
                <c:pt idx="2">
                  <c:v>1 : 8</c:v>
                </c:pt>
                <c:pt idx="3">
                  <c:v>1 : 16</c:v>
                </c:pt>
                <c:pt idx="4">
                  <c:v>1 : 32</c:v>
                </c:pt>
                <c:pt idx="5">
                  <c:v>1 : 64</c:v>
                </c:pt>
                <c:pt idx="6">
                  <c:v>1 : 128</c:v>
                </c:pt>
                <c:pt idx="7">
                  <c:v>1 : 256</c:v>
                </c:pt>
                <c:pt idx="8">
                  <c:v>1 : 512</c:v>
                </c:pt>
                <c:pt idx="9">
                  <c:v>1 : 1024</c:v>
                </c:pt>
                <c:pt idx="10">
                  <c:v>1 : 2048</c:v>
                </c:pt>
                <c:pt idx="11">
                  <c:v>1 : 4096</c:v>
                </c:pt>
                <c:pt idx="12">
                  <c:v>1 : 8192</c:v>
                </c:pt>
                <c:pt idx="13">
                  <c:v>1 : 16384</c:v>
                </c:pt>
                <c:pt idx="14">
                  <c:v>1 : 32768</c:v>
                </c:pt>
                <c:pt idx="15">
                  <c:v>1 : 65536</c:v>
                </c:pt>
                <c:pt idx="16">
                  <c:v>1 : 131072</c:v>
                </c:pt>
                <c:pt idx="17">
                  <c:v>1 : 262144</c:v>
                </c:pt>
              </c:strCache>
            </c:strRef>
          </c:cat>
          <c:val>
            <c:numRef>
              <c:f>'Abb.-maßstab-Brennweite'!$C$16:$T$16</c:f>
              <c:numCache>
                <c:formatCode>0.00000</c:formatCode>
                <c:ptCount val="1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numCache>
            </c:numRef>
          </c:val>
          <c:smooth val="0"/>
        </c:ser>
        <c:dLbls>
          <c:showLegendKey val="0"/>
          <c:showVal val="0"/>
          <c:showCatName val="0"/>
          <c:showSerName val="0"/>
          <c:showPercent val="0"/>
          <c:showBubbleSize val="0"/>
        </c:dLbls>
        <c:dropLines>
          <c:spPr>
            <a:ln w="3175">
              <a:solidFill>
                <a:srgbClr val="000000"/>
              </a:solidFill>
              <a:prstDash val="solid"/>
            </a:ln>
          </c:spPr>
        </c:dropLines>
        <c:marker val="1"/>
        <c:smooth val="0"/>
        <c:axId val="1405031936"/>
        <c:axId val="1348135744"/>
      </c:lineChart>
      <c:catAx>
        <c:axId val="140503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de-DE"/>
          </a:p>
        </c:txPr>
        <c:crossAx val="1348135744"/>
        <c:crosses val="autoZero"/>
        <c:auto val="1"/>
        <c:lblAlgn val="ctr"/>
        <c:lblOffset val="100"/>
        <c:tickLblSkip val="1"/>
        <c:tickMarkSkip val="1"/>
        <c:noMultiLvlLbl val="0"/>
      </c:catAx>
      <c:valAx>
        <c:axId val="1348135744"/>
        <c:scaling>
          <c:orientation val="minMax"/>
        </c:scaling>
        <c:delete val="0"/>
        <c:axPos val="l"/>
        <c:minorGridlines>
          <c:spPr>
            <a:ln w="3175">
              <a:noFill/>
              <a:prstDash val="solid"/>
            </a:ln>
          </c:spPr>
        </c:minorGridlines>
        <c:title>
          <c:tx>
            <c:rich>
              <a:bodyPr/>
              <a:lstStyle/>
              <a:p>
                <a:pPr>
                  <a:defRPr sz="800" b="1" i="0" u="none" strike="noStrike" baseline="0">
                    <a:solidFill>
                      <a:srgbClr val="000000"/>
                    </a:solidFill>
                    <a:latin typeface="Arial"/>
                    <a:ea typeface="Arial"/>
                    <a:cs typeface="Arial"/>
                  </a:defRPr>
                </a:pPr>
                <a:r>
                  <a:rPr lang="de-DE"/>
                  <a:t>Änderungsfaktor</a:t>
                </a:r>
              </a:p>
            </c:rich>
          </c:tx>
          <c:layout>
            <c:manualLayout>
              <c:xMode val="edge"/>
              <c:yMode val="edge"/>
              <c:x val="2.2630834512022632E-2"/>
              <c:y val="0.34"/>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405031936"/>
        <c:crosses val="autoZero"/>
        <c:crossBetween val="between"/>
        <c:majorUnit val="0.1"/>
        <c:minorUnit val="2.0000000000000004E-2"/>
      </c:valAx>
      <c:spPr>
        <a:solidFill>
          <a:srgbClr val="C0C0C0"/>
        </a:solidFill>
        <a:ln w="12700">
          <a:solidFill>
            <a:srgbClr val="808080"/>
          </a:solidFill>
          <a:prstDash val="solid"/>
        </a:ln>
      </c:spPr>
    </c:plotArea>
    <c:legend>
      <c:legendPos val="r"/>
      <c:layout>
        <c:manualLayout>
          <c:xMode val="edge"/>
          <c:yMode val="edge"/>
          <c:x val="0.74681753889674685"/>
          <c:y val="0.45428571428571429"/>
          <c:w val="0.24186704384724189"/>
          <c:h val="5.714285714285716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de-DE"/>
              <a:t>Größenverhältnis (Proportion) von hintereinander stehenden Gegenständen 
bei der fotografischen Abbildung</a:t>
            </a:r>
          </a:p>
        </c:rich>
      </c:tx>
      <c:layout>
        <c:manualLayout>
          <c:xMode val="edge"/>
          <c:yMode val="edge"/>
          <c:x val="0.15042130564004408"/>
          <c:y val="2.7960526315789474E-2"/>
        </c:manualLayout>
      </c:layout>
      <c:overlay val="0"/>
      <c:spPr>
        <a:noFill/>
        <a:ln w="25400">
          <a:noFill/>
        </a:ln>
      </c:spPr>
    </c:title>
    <c:autoTitleDeleted val="0"/>
    <c:plotArea>
      <c:layout>
        <c:manualLayout>
          <c:layoutTarget val="inner"/>
          <c:xMode val="edge"/>
          <c:yMode val="edge"/>
          <c:x val="9.1456184491793227E-2"/>
          <c:y val="0.16447368421052633"/>
          <c:w val="0.8916977987949839"/>
          <c:h val="0.67598684210526316"/>
        </c:manualLayout>
      </c:layout>
      <c:lineChart>
        <c:grouping val="standard"/>
        <c:varyColors val="0"/>
        <c:ser>
          <c:idx val="1"/>
          <c:order val="0"/>
          <c:tx>
            <c:v>Brennweite variabel, Abstand fest</c:v>
          </c:tx>
          <c:spPr>
            <a:ln w="38100">
              <a:solidFill>
                <a:srgbClr val="FF00FF"/>
              </a:solidFill>
              <a:prstDash val="solid"/>
            </a:ln>
          </c:spPr>
          <c:marker>
            <c:symbol val="none"/>
          </c:marker>
          <c:cat>
            <c:numRef>
              <c:f>(Proportionen!$D$105,Proportionen!$F$105,Proportionen!$H$105,Proportionen!$J$105,Proportionen!$L$105,Proportionen!$N$105,Proportionen!$P$105)</c:f>
              <c:numCache>
                <c:formatCode>General</c:formatCode>
                <c:ptCount val="7"/>
                <c:pt idx="0">
                  <c:v>4</c:v>
                </c:pt>
                <c:pt idx="1">
                  <c:v>8</c:v>
                </c:pt>
                <c:pt idx="2">
                  <c:v>15</c:v>
                </c:pt>
                <c:pt idx="3">
                  <c:v>25</c:v>
                </c:pt>
                <c:pt idx="4">
                  <c:v>50</c:v>
                </c:pt>
                <c:pt idx="5">
                  <c:v>100</c:v>
                </c:pt>
                <c:pt idx="6">
                  <c:v>200</c:v>
                </c:pt>
              </c:numCache>
            </c:numRef>
          </c:cat>
          <c:val>
            <c:numRef>
              <c:f>(Proportionen!$D$97,Proportionen!$F$97,Proportionen!$H$97,Proportionen!$J$97,Proportionen!$L$97,Proportionen!$N$97,Proportionen!$P$97)</c:f>
              <c:numCache>
                <c:formatCode>0.00</c:formatCode>
                <c:ptCount val="7"/>
                <c:pt idx="0">
                  <c:v>1.5025125628140705</c:v>
                </c:pt>
                <c:pt idx="1">
                  <c:v>1.504032258064516</c:v>
                </c:pt>
                <c:pt idx="2">
                  <c:v>1.5068423720223012</c:v>
                </c:pt>
                <c:pt idx="3">
                  <c:v>1.5091649694501017</c:v>
                </c:pt>
                <c:pt idx="4">
                  <c:v>1.5122950819672132</c:v>
                </c:pt>
                <c:pt idx="5">
                  <c:v>1.5154639175257731</c:v>
                </c:pt>
                <c:pt idx="6">
                  <c:v>1.5263157894736841</c:v>
                </c:pt>
              </c:numCache>
            </c:numRef>
          </c:val>
          <c:smooth val="0"/>
        </c:ser>
        <c:ser>
          <c:idx val="0"/>
          <c:order val="1"/>
          <c:tx>
            <c:v>Brennweite fest, Abstand variabel</c:v>
          </c:tx>
          <c:spPr>
            <a:ln w="38100">
              <a:solidFill>
                <a:srgbClr val="000080"/>
              </a:solidFill>
              <a:prstDash val="solid"/>
            </a:ln>
          </c:spPr>
          <c:marker>
            <c:symbol val="none"/>
          </c:marker>
          <c:cat>
            <c:numRef>
              <c:f>(Proportionen!$D$105,Proportionen!$F$105,Proportionen!$H$105,Proportionen!$J$105,Proportionen!$L$105,Proportionen!$N$105,Proportionen!$P$105)</c:f>
              <c:numCache>
                <c:formatCode>General</c:formatCode>
                <c:ptCount val="7"/>
                <c:pt idx="0">
                  <c:v>4</c:v>
                </c:pt>
                <c:pt idx="1">
                  <c:v>8</c:v>
                </c:pt>
                <c:pt idx="2">
                  <c:v>15</c:v>
                </c:pt>
                <c:pt idx="3">
                  <c:v>25</c:v>
                </c:pt>
                <c:pt idx="4">
                  <c:v>50</c:v>
                </c:pt>
                <c:pt idx="5">
                  <c:v>100</c:v>
                </c:pt>
                <c:pt idx="6">
                  <c:v>200</c:v>
                </c:pt>
              </c:numCache>
            </c:numRef>
          </c:cat>
          <c:val>
            <c:numRef>
              <c:f>(Proportionen!$D$130,Proportionen!$F$130,Proportionen!$H$130,Proportionen!$J$130,Proportionen!$L$130,Proportionen!$N$130,Proportionen!$P$130)</c:f>
              <c:numCache>
                <c:formatCode>0.00</c:formatCode>
                <c:ptCount val="7"/>
                <c:pt idx="0">
                  <c:v>2.5189873417721516</c:v>
                </c:pt>
                <c:pt idx="1">
                  <c:v>1.7547169811320753</c:v>
                </c:pt>
                <c:pt idx="2">
                  <c:v>1.4013377926421406</c:v>
                </c:pt>
                <c:pt idx="3">
                  <c:v>1.2404809619238477</c:v>
                </c:pt>
                <c:pt idx="4">
                  <c:v>1.1201201201201201</c:v>
                </c:pt>
                <c:pt idx="5">
                  <c:v>1.0600300150075037</c:v>
                </c:pt>
                <c:pt idx="6">
                  <c:v>1.0300075018754689</c:v>
                </c:pt>
              </c:numCache>
            </c:numRef>
          </c:val>
          <c:smooth val="0"/>
        </c:ser>
        <c:dLbls>
          <c:showLegendKey val="0"/>
          <c:showVal val="0"/>
          <c:showCatName val="0"/>
          <c:showSerName val="0"/>
          <c:showPercent val="0"/>
          <c:showBubbleSize val="0"/>
        </c:dLbls>
        <c:marker val="1"/>
        <c:smooth val="0"/>
        <c:axId val="1404944384"/>
        <c:axId val="1348137472"/>
      </c:lineChart>
      <c:catAx>
        <c:axId val="1404944384"/>
        <c:scaling>
          <c:orientation val="minMax"/>
        </c:scaling>
        <c:delete val="0"/>
        <c:axPos val="b"/>
        <c:majorGridlines>
          <c:spPr>
            <a:ln w="3175">
              <a:solidFill>
                <a:srgbClr val="C0C0C0"/>
              </a:solidFill>
              <a:prstDash val="solid"/>
            </a:ln>
          </c:spPr>
        </c:majorGridlines>
        <c:minorGridlines>
          <c:spPr>
            <a:ln w="3175">
              <a:solidFill>
                <a:srgbClr val="C0C0C0"/>
              </a:solidFill>
              <a:prstDash val="solid"/>
            </a:ln>
          </c:spPr>
        </c:minorGridlines>
        <c:title>
          <c:tx>
            <c:rich>
              <a:bodyPr/>
              <a:lstStyle/>
              <a:p>
                <a:pPr>
                  <a:defRPr sz="975" b="1" i="0" u="none" strike="noStrike" baseline="0">
                    <a:solidFill>
                      <a:srgbClr val="000000"/>
                    </a:solidFill>
                    <a:latin typeface="Arial"/>
                    <a:ea typeface="Arial"/>
                    <a:cs typeface="Arial"/>
                  </a:defRPr>
                </a:pPr>
                <a:r>
                  <a:rPr lang="de-DE"/>
                  <a:t>Aufnahmeabstand</a:t>
                </a:r>
              </a:p>
            </c:rich>
          </c:tx>
          <c:layout>
            <c:manualLayout>
              <c:xMode val="edge"/>
              <c:yMode val="edge"/>
              <c:x val="0.465704476471127"/>
              <c:y val="0.891447368421052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48137472"/>
        <c:crosses val="autoZero"/>
        <c:auto val="1"/>
        <c:lblAlgn val="ctr"/>
        <c:lblOffset val="100"/>
        <c:tickLblSkip val="1"/>
        <c:tickMarkSkip val="1"/>
        <c:noMultiLvlLbl val="0"/>
      </c:catAx>
      <c:valAx>
        <c:axId val="1348137472"/>
        <c:scaling>
          <c:orientation val="minMax"/>
          <c:min val="0"/>
        </c:scaling>
        <c:delete val="0"/>
        <c:axPos val="l"/>
        <c:majorGridlines>
          <c:spPr>
            <a:ln w="3175">
              <a:solidFill>
                <a:srgbClr val="C0C0C0"/>
              </a:solidFill>
              <a:prstDash val="solid"/>
            </a:ln>
          </c:spPr>
        </c:majorGridlines>
        <c:minorGridlines>
          <c:spPr>
            <a:ln w="3175">
              <a:solidFill>
                <a:srgbClr val="C0C0C0"/>
              </a:solidFill>
              <a:prstDash val="solid"/>
            </a:ln>
          </c:spPr>
        </c:minorGridlines>
        <c:title>
          <c:tx>
            <c:rich>
              <a:bodyPr/>
              <a:lstStyle/>
              <a:p>
                <a:pPr>
                  <a:defRPr sz="975" b="1" i="0" u="none" strike="noStrike" baseline="0">
                    <a:solidFill>
                      <a:srgbClr val="000000"/>
                    </a:solidFill>
                    <a:latin typeface="Arial"/>
                    <a:ea typeface="Arial"/>
                    <a:cs typeface="Arial"/>
                  </a:defRPr>
                </a:pPr>
                <a:r>
                  <a:rPr lang="de-DE"/>
                  <a:t>Größenverhältnis der Gegenstände (1 zu X)</a:t>
                </a:r>
              </a:p>
            </c:rich>
          </c:tx>
          <c:layout>
            <c:manualLayout>
              <c:xMode val="edge"/>
              <c:yMode val="edge"/>
              <c:x val="1.9253910950661854E-2"/>
              <c:y val="0.2746710526315789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404944384"/>
        <c:crosses val="autoZero"/>
        <c:crossBetween val="between"/>
      </c:valAx>
      <c:spPr>
        <a:solidFill>
          <a:srgbClr val="FFFFCC"/>
        </a:solidFill>
        <a:ln w="12700">
          <a:solidFill>
            <a:srgbClr val="C0C0C0"/>
          </a:solidFill>
          <a:prstDash val="solid"/>
        </a:ln>
      </c:spPr>
    </c:plotArea>
    <c:legend>
      <c:legendPos val="r"/>
      <c:layout>
        <c:manualLayout>
          <c:xMode val="edge"/>
          <c:yMode val="edge"/>
          <c:x val="0.25992805050993173"/>
          <c:y val="0.94901315789473684"/>
          <c:w val="0.55716067982476924"/>
          <c:h val="3.9473684210526327E-2"/>
        </c:manualLayout>
      </c:layout>
      <c:overlay val="0"/>
      <c:spPr>
        <a:solidFill>
          <a:srgbClr val="FFFFFF"/>
        </a:solidFill>
        <a:ln w="3175">
          <a:solidFill>
            <a:srgbClr val="000000"/>
          </a:solidFill>
          <a:prstDash val="solid"/>
        </a:ln>
      </c:spPr>
      <c:txPr>
        <a:bodyPr/>
        <a:lstStyle/>
        <a:p>
          <a:pPr>
            <a:defRPr sz="8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a:t>Proportionen im optischen Bild</a:t>
            </a:r>
          </a:p>
        </c:rich>
      </c:tx>
      <c:layout>
        <c:manualLayout>
          <c:xMode val="edge"/>
          <c:yMode val="edge"/>
          <c:x val="0.26076584797761204"/>
          <c:y val="3.0092592592592591E-2"/>
        </c:manualLayout>
      </c:layout>
      <c:overlay val="0"/>
      <c:spPr>
        <a:noFill/>
        <a:ln w="25400">
          <a:noFill/>
        </a:ln>
      </c:spPr>
    </c:title>
    <c:autoTitleDeleted val="0"/>
    <c:plotArea>
      <c:layout>
        <c:manualLayout>
          <c:layoutTarget val="inner"/>
          <c:xMode val="edge"/>
          <c:yMode val="edge"/>
          <c:x val="0.10596026490066225"/>
          <c:y val="0.15046330309448941"/>
          <c:w val="0.87549668874172182"/>
          <c:h val="0.69676083432986635"/>
        </c:manualLayout>
      </c:layout>
      <c:lineChart>
        <c:grouping val="standard"/>
        <c:varyColors val="0"/>
        <c:ser>
          <c:idx val="0"/>
          <c:order val="0"/>
          <c:tx>
            <c:v>Fall 1: a variabel</c:v>
          </c:tx>
          <c:spPr>
            <a:ln w="12700">
              <a:solidFill>
                <a:srgbClr val="000080"/>
              </a:solidFill>
              <a:prstDash val="solid"/>
            </a:ln>
          </c:spPr>
          <c:marker>
            <c:symbol val="none"/>
          </c:marker>
          <c:val>
            <c:numRef>
              <c:f>Proportionen!$C$176:$Z$176</c:f>
              <c:numCache>
                <c:formatCode>0.0000</c:formatCode>
                <c:ptCount val="24"/>
                <c:pt idx="0">
                  <c:v>2.6666666666666665</c:v>
                </c:pt>
                <c:pt idx="1">
                  <c:v>2.3043478260869565</c:v>
                </c:pt>
                <c:pt idx="2">
                  <c:v>2.0714285714285716</c:v>
                </c:pt>
                <c:pt idx="3">
                  <c:v>1.9090909090909092</c:v>
                </c:pt>
                <c:pt idx="4">
                  <c:v>1.7894736842105263</c:v>
                </c:pt>
                <c:pt idx="5">
                  <c:v>1.6976744186046513</c:v>
                </c:pt>
                <c:pt idx="6">
                  <c:v>1.625</c:v>
                </c:pt>
                <c:pt idx="7">
                  <c:v>1.5660377358490565</c:v>
                </c:pt>
                <c:pt idx="8">
                  <c:v>1.5172413793103445</c:v>
                </c:pt>
                <c:pt idx="9">
                  <c:v>1.4761904761904763</c:v>
                </c:pt>
                <c:pt idx="10">
                  <c:v>1.4411764705882353</c:v>
                </c:pt>
                <c:pt idx="11">
                  <c:v>1.4109589041095889</c:v>
                </c:pt>
                <c:pt idx="12">
                  <c:v>1.3846153846153848</c:v>
                </c:pt>
                <c:pt idx="13">
                  <c:v>1.3614457831325302</c:v>
                </c:pt>
                <c:pt idx="14">
                  <c:v>1.3409090909090911</c:v>
                </c:pt>
                <c:pt idx="15">
                  <c:v>1.3225806451612903</c:v>
                </c:pt>
                <c:pt idx="16">
                  <c:v>1.306122448979592</c:v>
                </c:pt>
                <c:pt idx="17">
                  <c:v>1.2912621359223302</c:v>
                </c:pt>
                <c:pt idx="18">
                  <c:v>1.2777777777777777</c:v>
                </c:pt>
                <c:pt idx="19">
                  <c:v>1.265486725663717</c:v>
                </c:pt>
                <c:pt idx="20">
                  <c:v>1.2542372881355932</c:v>
                </c:pt>
                <c:pt idx="21">
                  <c:v>1.2439024390243902</c:v>
                </c:pt>
                <c:pt idx="22">
                  <c:v>1.234375</c:v>
                </c:pt>
                <c:pt idx="23">
                  <c:v>1.225563909774436</c:v>
                </c:pt>
              </c:numCache>
            </c:numRef>
          </c:val>
          <c:smooth val="0"/>
        </c:ser>
        <c:ser>
          <c:idx val="1"/>
          <c:order val="1"/>
          <c:tx>
            <c:v>Fall 2: f variabel</c:v>
          </c:tx>
          <c:spPr>
            <a:ln w="12700">
              <a:solidFill>
                <a:srgbClr val="FF00FF"/>
              </a:solidFill>
              <a:prstDash val="solid"/>
            </a:ln>
          </c:spPr>
          <c:marker>
            <c:symbol val="none"/>
          </c:marker>
          <c:val>
            <c:numRef>
              <c:f>Proportionen!$C$216:$Z$216</c:f>
              <c:numCache>
                <c:formatCode>0.00000</c:formatCode>
                <c:ptCount val="24"/>
                <c:pt idx="0">
                  <c:v>1.2173913043478262</c:v>
                </c:pt>
                <c:pt idx="1">
                  <c:v>1.218181818181818</c:v>
                </c:pt>
                <c:pt idx="2">
                  <c:v>1.218978102189781</c:v>
                </c:pt>
                <c:pt idx="3">
                  <c:v>1.2197802197802199</c:v>
                </c:pt>
                <c:pt idx="4">
                  <c:v>1.2205882352941175</c:v>
                </c:pt>
                <c:pt idx="5">
                  <c:v>1.2214022140221401</c:v>
                </c:pt>
                <c:pt idx="6">
                  <c:v>1.2222222222222223</c:v>
                </c:pt>
                <c:pt idx="7">
                  <c:v>1.2230483271375467</c:v>
                </c:pt>
                <c:pt idx="8">
                  <c:v>1.2238805970149254</c:v>
                </c:pt>
                <c:pt idx="9">
                  <c:v>1.2247191011235954</c:v>
                </c:pt>
                <c:pt idx="10">
                  <c:v>1.2255639097744362</c:v>
                </c:pt>
                <c:pt idx="11">
                  <c:v>1.2264150943396226</c:v>
                </c:pt>
                <c:pt idx="12">
                  <c:v>1.2272727272727273</c:v>
                </c:pt>
                <c:pt idx="13">
                  <c:v>1.2281368821292775</c:v>
                </c:pt>
                <c:pt idx="14">
                  <c:v>1.2290076335877864</c:v>
                </c:pt>
                <c:pt idx="15">
                  <c:v>1.2298850574712643</c:v>
                </c:pt>
                <c:pt idx="16">
                  <c:v>1.2307692307692308</c:v>
                </c:pt>
                <c:pt idx="17">
                  <c:v>1.2316602316602314</c:v>
                </c:pt>
                <c:pt idx="18">
                  <c:v>1.2325581395348839</c:v>
                </c:pt>
                <c:pt idx="19">
                  <c:v>1.2334630350194553</c:v>
                </c:pt>
                <c:pt idx="20">
                  <c:v>1.234375</c:v>
                </c:pt>
                <c:pt idx="21">
                  <c:v>1.2352941176470589</c:v>
                </c:pt>
                <c:pt idx="22">
                  <c:v>1.2362204724409447</c:v>
                </c:pt>
                <c:pt idx="23">
                  <c:v>1.2371541501976286</c:v>
                </c:pt>
              </c:numCache>
            </c:numRef>
          </c:val>
          <c:smooth val="0"/>
        </c:ser>
        <c:dLbls>
          <c:showLegendKey val="0"/>
          <c:showVal val="0"/>
          <c:showCatName val="0"/>
          <c:showSerName val="0"/>
          <c:showPercent val="0"/>
          <c:showBubbleSize val="0"/>
        </c:dLbls>
        <c:marker val="1"/>
        <c:smooth val="0"/>
        <c:axId val="1404945408"/>
        <c:axId val="1348140352"/>
      </c:lineChart>
      <c:catAx>
        <c:axId val="14049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1348140352"/>
        <c:crosses val="autoZero"/>
        <c:auto val="1"/>
        <c:lblAlgn val="ctr"/>
        <c:lblOffset val="100"/>
        <c:tickLblSkip val="2"/>
        <c:tickMarkSkip val="1"/>
        <c:noMultiLvlLbl val="0"/>
      </c:catAx>
      <c:valAx>
        <c:axId val="1348140352"/>
        <c:scaling>
          <c:orientation val="minMax"/>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de-DE"/>
                  <a:t>Größenverhältnis zweier Bilder</a:t>
                </a:r>
              </a:p>
            </c:rich>
          </c:tx>
          <c:layout>
            <c:manualLayout>
              <c:xMode val="edge"/>
              <c:yMode val="edge"/>
              <c:x val="3.8277519945768362E-2"/>
              <c:y val="0.29398221055701373"/>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1404945408"/>
        <c:crosses val="autoZero"/>
        <c:crossBetween val="between"/>
      </c:valAx>
      <c:spPr>
        <a:solidFill>
          <a:srgbClr val="C0C0C0"/>
        </a:solidFill>
        <a:ln w="12700">
          <a:solidFill>
            <a:srgbClr val="808080"/>
          </a:solidFill>
          <a:prstDash val="solid"/>
        </a:ln>
      </c:spPr>
    </c:plotArea>
    <c:legend>
      <c:legendPos val="r"/>
      <c:layout>
        <c:manualLayout>
          <c:xMode val="edge"/>
          <c:yMode val="edge"/>
          <c:x val="0.39900043907151017"/>
          <c:y val="0.91757204939546488"/>
          <c:w val="0.295364238410596"/>
          <c:h val="5.092592592592593E-2"/>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1" i="0" u="none" strike="noStrike" baseline="0">
                <a:solidFill>
                  <a:srgbClr val="000000"/>
                </a:solidFill>
                <a:latin typeface="Arial"/>
                <a:ea typeface="Arial"/>
                <a:cs typeface="Arial"/>
              </a:defRPr>
            </a:pPr>
            <a:r>
              <a:rPr lang="de-DE"/>
              <a:t>Variation a</a:t>
            </a:r>
          </a:p>
        </c:rich>
      </c:tx>
      <c:layout>
        <c:manualLayout>
          <c:xMode val="edge"/>
          <c:yMode val="edge"/>
          <c:x val="0.41118490122945156"/>
          <c:y val="3.4161490683229816E-2"/>
        </c:manualLayout>
      </c:layout>
      <c:overlay val="0"/>
      <c:spPr>
        <a:noFill/>
        <a:ln w="25400">
          <a:noFill/>
        </a:ln>
      </c:spPr>
    </c:title>
    <c:autoTitleDeleted val="0"/>
    <c:plotArea>
      <c:layout>
        <c:manualLayout>
          <c:layoutTarget val="inner"/>
          <c:xMode val="edge"/>
          <c:yMode val="edge"/>
          <c:x val="0.15131603251572862"/>
          <c:y val="0.13043498040048221"/>
          <c:w val="0.68421162528851209"/>
          <c:h val="0.77329309808857316"/>
        </c:manualLayout>
      </c:layout>
      <c:barChart>
        <c:barDir val="col"/>
        <c:grouping val="clustered"/>
        <c:varyColors val="0"/>
        <c:ser>
          <c:idx val="0"/>
          <c:order val="0"/>
          <c:spPr>
            <a:solidFill>
              <a:srgbClr val="9999FF"/>
            </a:solidFill>
            <a:ln w="12700">
              <a:solidFill>
                <a:srgbClr val="000000"/>
              </a:solidFill>
              <a:prstDash val="solid"/>
            </a:ln>
          </c:spPr>
          <c:invertIfNegative val="0"/>
          <c:val>
            <c:numLit>
              <c:formatCode>0.00</c:formatCode>
              <c:ptCount val="2"/>
              <c:pt idx="0">
                <c:v>2.0526315789473686</c:v>
              </c:pt>
              <c:pt idx="1">
                <c:v>1.4081632653061225</c:v>
              </c:pt>
            </c:numLit>
          </c:val>
        </c:ser>
        <c:dLbls>
          <c:showLegendKey val="0"/>
          <c:showVal val="0"/>
          <c:showCatName val="0"/>
          <c:showSerName val="0"/>
          <c:showPercent val="0"/>
          <c:showBubbleSize val="0"/>
        </c:dLbls>
        <c:gapWidth val="150"/>
        <c:axId val="1405033472"/>
        <c:axId val="1405706240"/>
      </c:barChart>
      <c:catAx>
        <c:axId val="140503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de-DE"/>
          </a:p>
        </c:txPr>
        <c:crossAx val="1405706240"/>
        <c:crosses val="autoZero"/>
        <c:auto val="1"/>
        <c:lblAlgn val="ctr"/>
        <c:lblOffset val="100"/>
        <c:tickLblSkip val="1"/>
        <c:tickMarkSkip val="1"/>
        <c:noMultiLvlLbl val="0"/>
      </c:catAx>
      <c:valAx>
        <c:axId val="1405706240"/>
        <c:scaling>
          <c:orientation val="minMax"/>
          <c:min val="0"/>
        </c:scaling>
        <c:delete val="0"/>
        <c:axPos val="l"/>
        <c:majorGridlines>
          <c:spPr>
            <a:ln w="3175">
              <a:solidFill>
                <a:srgbClr val="000000"/>
              </a:solidFill>
              <a:prstDash val="solid"/>
            </a:ln>
          </c:spPr>
        </c:majorGridlines>
        <c:title>
          <c:tx>
            <c:rich>
              <a:bodyPr/>
              <a:lstStyle/>
              <a:p>
                <a:pPr>
                  <a:defRPr sz="475" b="1" i="0" u="none" strike="noStrike" baseline="0">
                    <a:solidFill>
                      <a:srgbClr val="000000"/>
                    </a:solidFill>
                    <a:latin typeface="Arial"/>
                    <a:ea typeface="Arial"/>
                    <a:cs typeface="Arial"/>
                  </a:defRPr>
                </a:pPr>
                <a:r>
                  <a:rPr lang="de-DE"/>
                  <a:t>Größen</a:t>
                </a:r>
              </a:p>
            </c:rich>
          </c:tx>
          <c:layout>
            <c:manualLayout>
              <c:xMode val="edge"/>
              <c:yMode val="edge"/>
              <c:x val="5.2631578947368418E-2"/>
              <c:y val="0.4875782918439542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de-DE"/>
          </a:p>
        </c:txPr>
        <c:crossAx val="1405033472"/>
        <c:crosses val="autoZero"/>
        <c:crossBetween val="between"/>
        <c:majorUnit val="1"/>
      </c:valAx>
      <c:spPr>
        <a:solidFill>
          <a:srgbClr val="C0C0C0"/>
        </a:solidFill>
        <a:ln w="12700">
          <a:solidFill>
            <a:srgbClr val="808080"/>
          </a:solidFill>
          <a:prstDash val="solid"/>
        </a:ln>
      </c:spPr>
    </c:plotArea>
    <c:legend>
      <c:legendPos val="r"/>
      <c:layout>
        <c:manualLayout>
          <c:xMode val="edge"/>
          <c:yMode val="edge"/>
          <c:x val="0.87171190772206097"/>
          <c:y val="0.45652239122283622"/>
          <c:w val="0.10197368421052633"/>
          <c:h val="3.726708074534163E-2"/>
        </c:manualLayout>
      </c:layout>
      <c:overlay val="0"/>
      <c:spPr>
        <a:solidFill>
          <a:srgbClr val="FFFFFF"/>
        </a:solidFill>
        <a:ln w="3175">
          <a:solidFill>
            <a:srgbClr val="000000"/>
          </a:solidFill>
          <a:prstDash val="solid"/>
        </a:ln>
      </c:spPr>
      <c:txPr>
        <a:bodyPr/>
        <a:lstStyle/>
        <a:p>
          <a:pPr>
            <a:defRPr sz="3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1" i="0" u="none" strike="noStrike" baseline="0">
                <a:solidFill>
                  <a:srgbClr val="000000"/>
                </a:solidFill>
                <a:latin typeface="Arial"/>
                <a:ea typeface="Arial"/>
                <a:cs typeface="Arial"/>
              </a:defRPr>
            </a:pPr>
            <a:r>
              <a:rPr lang="de-DE"/>
              <a:t>Variation f</a:t>
            </a:r>
          </a:p>
        </c:rich>
      </c:tx>
      <c:layout>
        <c:manualLayout>
          <c:xMode val="edge"/>
          <c:yMode val="edge"/>
          <c:x val="0.41496741478743726"/>
          <c:y val="3.4161490683229816E-2"/>
        </c:manualLayout>
      </c:layout>
      <c:overlay val="0"/>
      <c:spPr>
        <a:noFill/>
        <a:ln w="25400">
          <a:noFill/>
        </a:ln>
      </c:spPr>
    </c:title>
    <c:autoTitleDeleted val="0"/>
    <c:plotArea>
      <c:layout>
        <c:manualLayout>
          <c:layoutTarget val="inner"/>
          <c:xMode val="edge"/>
          <c:yMode val="edge"/>
          <c:x val="0.1564631047483018"/>
          <c:y val="0.13043498040048221"/>
          <c:w val="0.67347162478616862"/>
          <c:h val="0.77329309808857316"/>
        </c:manualLayout>
      </c:layout>
      <c:barChart>
        <c:barDir val="col"/>
        <c:grouping val="clustered"/>
        <c:varyColors val="0"/>
        <c:ser>
          <c:idx val="0"/>
          <c:order val="0"/>
          <c:spPr>
            <a:solidFill>
              <a:srgbClr val="9999FF"/>
            </a:solidFill>
            <a:ln w="12700">
              <a:solidFill>
                <a:srgbClr val="000000"/>
              </a:solidFill>
              <a:prstDash val="solid"/>
            </a:ln>
          </c:spPr>
          <c:invertIfNegative val="0"/>
          <c:val>
            <c:numLit>
              <c:formatCode>0.00</c:formatCode>
              <c:ptCount val="2"/>
              <c:pt idx="0">
                <c:v>1.1015228426395938</c:v>
              </c:pt>
              <c:pt idx="1">
                <c:v>1.1005025125628141</c:v>
              </c:pt>
            </c:numLit>
          </c:val>
        </c:ser>
        <c:dLbls>
          <c:showLegendKey val="0"/>
          <c:showVal val="0"/>
          <c:showCatName val="0"/>
          <c:showSerName val="0"/>
          <c:showPercent val="0"/>
          <c:showBubbleSize val="0"/>
        </c:dLbls>
        <c:gapWidth val="150"/>
        <c:axId val="1404945920"/>
        <c:axId val="1405707968"/>
      </c:barChart>
      <c:catAx>
        <c:axId val="140494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de-DE"/>
          </a:p>
        </c:txPr>
        <c:crossAx val="1405707968"/>
        <c:crosses val="autoZero"/>
        <c:auto val="1"/>
        <c:lblAlgn val="ctr"/>
        <c:lblOffset val="100"/>
        <c:tickLblSkip val="1"/>
        <c:tickMarkSkip val="1"/>
        <c:noMultiLvlLbl val="0"/>
      </c:catAx>
      <c:valAx>
        <c:axId val="1405707968"/>
        <c:scaling>
          <c:orientation val="minMax"/>
          <c:min val="0"/>
        </c:scaling>
        <c:delete val="0"/>
        <c:axPos val="l"/>
        <c:majorGridlines>
          <c:spPr>
            <a:ln w="3175">
              <a:solidFill>
                <a:srgbClr val="000000"/>
              </a:solidFill>
              <a:prstDash val="solid"/>
            </a:ln>
          </c:spPr>
        </c:majorGridlines>
        <c:title>
          <c:tx>
            <c:rich>
              <a:bodyPr/>
              <a:lstStyle/>
              <a:p>
                <a:pPr>
                  <a:defRPr sz="475" b="1" i="0" u="none" strike="noStrike" baseline="0">
                    <a:solidFill>
                      <a:srgbClr val="000000"/>
                    </a:solidFill>
                    <a:latin typeface="Arial"/>
                    <a:ea typeface="Arial"/>
                    <a:cs typeface="Arial"/>
                  </a:defRPr>
                </a:pPr>
                <a:r>
                  <a:rPr lang="de-DE"/>
                  <a:t>Größen</a:t>
                </a:r>
              </a:p>
            </c:rich>
          </c:tx>
          <c:layout>
            <c:manualLayout>
              <c:xMode val="edge"/>
              <c:yMode val="edge"/>
              <c:x val="5.442212580570286E-2"/>
              <c:y val="0.4875782918439542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de-DE"/>
          </a:p>
        </c:txPr>
        <c:crossAx val="1404945920"/>
        <c:crosses val="autoZero"/>
        <c:crossBetween val="between"/>
        <c:majorUnit val="1"/>
      </c:valAx>
      <c:spPr>
        <a:solidFill>
          <a:srgbClr val="C0C0C0"/>
        </a:solidFill>
        <a:ln w="12700">
          <a:solidFill>
            <a:srgbClr val="808080"/>
          </a:solidFill>
          <a:prstDash val="solid"/>
        </a:ln>
      </c:spPr>
    </c:plotArea>
    <c:legend>
      <c:legendPos val="r"/>
      <c:layout>
        <c:manualLayout>
          <c:xMode val="edge"/>
          <c:yMode val="edge"/>
          <c:x val="0.86734979556126912"/>
          <c:y val="0.45652239122283622"/>
          <c:w val="0.10544253396896819"/>
          <c:h val="3.726708074534163E-2"/>
        </c:manualLayout>
      </c:layout>
      <c:overlay val="0"/>
      <c:spPr>
        <a:solidFill>
          <a:srgbClr val="FFFFFF"/>
        </a:solidFill>
        <a:ln w="3175">
          <a:solidFill>
            <a:srgbClr val="000000"/>
          </a:solidFill>
          <a:prstDash val="solid"/>
        </a:ln>
      </c:spPr>
      <c:txPr>
        <a:bodyPr/>
        <a:lstStyle/>
        <a:p>
          <a:pPr>
            <a:defRPr sz="3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Blende und Beleuchtungsabstand</a:t>
            </a:r>
          </a:p>
        </c:rich>
      </c:tx>
      <c:layout>
        <c:manualLayout>
          <c:xMode val="edge"/>
          <c:yMode val="edge"/>
          <c:x val="0.30089820359281438"/>
          <c:y val="3.125E-2"/>
        </c:manualLayout>
      </c:layout>
      <c:overlay val="0"/>
      <c:spPr>
        <a:noFill/>
        <a:ln w="25400">
          <a:noFill/>
        </a:ln>
      </c:spPr>
    </c:title>
    <c:autoTitleDeleted val="0"/>
    <c:plotArea>
      <c:layout>
        <c:manualLayout>
          <c:layoutTarget val="inner"/>
          <c:xMode val="edge"/>
          <c:yMode val="edge"/>
          <c:x val="0.18263473053892215"/>
          <c:y val="0.17067307692307693"/>
          <c:w val="0.79640718562874246"/>
          <c:h val="0.66346153846153844"/>
        </c:manualLayout>
      </c:layout>
      <c:lineChart>
        <c:grouping val="standard"/>
        <c:varyColors val="0"/>
        <c:ser>
          <c:idx val="1"/>
          <c:order val="0"/>
          <c:tx>
            <c:v>Blende &amp; Beleuchtungsabstand</c:v>
          </c:tx>
          <c:marker>
            <c:symbol val="none"/>
          </c:marker>
          <c:cat>
            <c:numRef>
              <c:f>'Projektion-Leitzahl'!$C$604:$C$614</c:f>
              <c:numCache>
                <c:formatCode>0.00</c:formatCode>
                <c:ptCount val="11"/>
                <c:pt idx="0">
                  <c:v>1</c:v>
                </c:pt>
                <c:pt idx="1">
                  <c:v>1.4142135623730951</c:v>
                </c:pt>
                <c:pt idx="2">
                  <c:v>2.0000000000000004</c:v>
                </c:pt>
                <c:pt idx="3">
                  <c:v>2.8284271247461907</c:v>
                </c:pt>
                <c:pt idx="4">
                  <c:v>4.0000000000000009</c:v>
                </c:pt>
                <c:pt idx="5">
                  <c:v>5.6568542494923815</c:v>
                </c:pt>
                <c:pt idx="6">
                  <c:v>8.0000000000000018</c:v>
                </c:pt>
                <c:pt idx="7">
                  <c:v>11.313708498984763</c:v>
                </c:pt>
                <c:pt idx="8">
                  <c:v>16.000000000000004</c:v>
                </c:pt>
                <c:pt idx="9">
                  <c:v>22.627416997969526</c:v>
                </c:pt>
                <c:pt idx="10">
                  <c:v>32.000000000000007</c:v>
                </c:pt>
              </c:numCache>
            </c:numRef>
          </c:cat>
          <c:val>
            <c:numRef>
              <c:f>'Projektion-Leitzahl'!$D$604:$D$614</c:f>
              <c:numCache>
                <c:formatCode>_-* #,##0.00\ _D_M_-;\-* #,##0.00\ _D_M_-;_-* "-"??\ _D_M_-;_-@_-</c:formatCode>
                <c:ptCount val="11"/>
                <c:pt idx="0">
                  <c:v>90</c:v>
                </c:pt>
                <c:pt idx="1">
                  <c:v>63.639610306789272</c:v>
                </c:pt>
                <c:pt idx="2">
                  <c:v>44.999999999999993</c:v>
                </c:pt>
                <c:pt idx="3">
                  <c:v>31.819805153394633</c:v>
                </c:pt>
                <c:pt idx="4">
                  <c:v>22.499999999999996</c:v>
                </c:pt>
                <c:pt idx="5">
                  <c:v>15.909902576697316</c:v>
                </c:pt>
                <c:pt idx="6">
                  <c:v>11.249999999999998</c:v>
                </c:pt>
                <c:pt idx="7">
                  <c:v>7.9549512883486582</c:v>
                </c:pt>
                <c:pt idx="8">
                  <c:v>5.6249999999999991</c:v>
                </c:pt>
                <c:pt idx="9">
                  <c:v>3.9774756441743291</c:v>
                </c:pt>
                <c:pt idx="10">
                  <c:v>2.8124999999999996</c:v>
                </c:pt>
              </c:numCache>
            </c:numRef>
          </c:val>
          <c:smooth val="0"/>
        </c:ser>
        <c:dLbls>
          <c:showLegendKey val="0"/>
          <c:showVal val="0"/>
          <c:showCatName val="0"/>
          <c:showSerName val="0"/>
          <c:showPercent val="0"/>
          <c:showBubbleSize val="0"/>
        </c:dLbls>
        <c:marker val="1"/>
        <c:smooth val="0"/>
        <c:axId val="1337712640"/>
        <c:axId val="1336832512"/>
      </c:lineChart>
      <c:catAx>
        <c:axId val="13377126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000" b="1" i="0" u="none" strike="noStrike" baseline="0">
                    <a:solidFill>
                      <a:srgbClr val="000000"/>
                    </a:solidFill>
                    <a:latin typeface="Arial"/>
                    <a:ea typeface="Arial"/>
                    <a:cs typeface="Arial"/>
                  </a:defRPr>
                </a:pPr>
                <a:r>
                  <a:rPr lang="de-DE"/>
                  <a:t>Blendenzahlen</a:t>
                </a:r>
              </a:p>
            </c:rich>
          </c:tx>
          <c:layout>
            <c:manualLayout>
              <c:xMode val="edge"/>
              <c:yMode val="edge"/>
              <c:x val="0.50598802395209586"/>
              <c:y val="0.9086538461538461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36832512"/>
        <c:crosses val="autoZero"/>
        <c:auto val="1"/>
        <c:lblAlgn val="ctr"/>
        <c:lblOffset val="100"/>
        <c:tickLblSkip val="1"/>
        <c:tickMarkSkip val="1"/>
        <c:noMultiLvlLbl val="0"/>
      </c:catAx>
      <c:valAx>
        <c:axId val="1336832512"/>
        <c:scaling>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000" b="1" i="0" u="none" strike="noStrike" baseline="0">
                    <a:solidFill>
                      <a:srgbClr val="000000"/>
                    </a:solidFill>
                    <a:latin typeface="Arial"/>
                    <a:ea typeface="Arial"/>
                    <a:cs typeface="Arial"/>
                  </a:defRPr>
                </a:pPr>
                <a:r>
                  <a:rPr lang="de-DE"/>
                  <a:t>Beleuchtungsabstand</a:t>
                </a:r>
              </a:p>
            </c:rich>
          </c:tx>
          <c:layout>
            <c:manualLayout>
              <c:xMode val="edge"/>
              <c:yMode val="edge"/>
              <c:x val="2.3952095808383235E-2"/>
              <c:y val="0.33413461538461536"/>
            </c:manualLayout>
          </c:layout>
          <c:overlay val="0"/>
          <c:spPr>
            <a:noFill/>
            <a:ln w="25400">
              <a:noFill/>
            </a:ln>
          </c:spPr>
        </c:title>
        <c:numFmt formatCode="_-* #,##0.00\ _D_M_-;\-* #,##0.00\ _D_M_-;_-* &quot;-&quot;??\ _D_M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377126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57707509881422"/>
          <c:y val="9.5941132274007357E-2"/>
          <c:w val="0.69367588932806323"/>
          <c:h val="0.73800870980005662"/>
        </c:manualLayout>
      </c:layout>
      <c:lineChart>
        <c:grouping val="standard"/>
        <c:varyColors val="0"/>
        <c:ser>
          <c:idx val="0"/>
          <c:order val="0"/>
          <c:spPr>
            <a:ln w="12700">
              <a:solidFill>
                <a:srgbClr val="000080"/>
              </a:solidFill>
              <a:prstDash val="solid"/>
            </a:ln>
          </c:spPr>
          <c:marker>
            <c:symbol val="none"/>
          </c:marker>
          <c:val>
            <c:numRef>
              <c:f>'Lichtabfall im Bildkreis'!$M$388:$Y$388</c:f>
              <c:numCache>
                <c:formatCode>0%</c:formatCode>
                <c:ptCount val="13"/>
                <c:pt idx="0">
                  <c:v>1</c:v>
                </c:pt>
                <c:pt idx="1">
                  <c:v>0.99240387650610407</c:v>
                </c:pt>
                <c:pt idx="2">
                  <c:v>0.9698463103929541</c:v>
                </c:pt>
                <c:pt idx="3">
                  <c:v>0.93301270189221941</c:v>
                </c:pt>
                <c:pt idx="4">
                  <c:v>0.88302222155948906</c:v>
                </c:pt>
                <c:pt idx="5">
                  <c:v>0.82139380484326963</c:v>
                </c:pt>
                <c:pt idx="6">
                  <c:v>0.75000000000000011</c:v>
                </c:pt>
                <c:pt idx="7">
                  <c:v>0.67101007166283433</c:v>
                </c:pt>
                <c:pt idx="8">
                  <c:v>0.58682408883346515</c:v>
                </c:pt>
                <c:pt idx="9">
                  <c:v>0.50000000000000011</c:v>
                </c:pt>
                <c:pt idx="10">
                  <c:v>0.41317591116653485</c:v>
                </c:pt>
                <c:pt idx="11">
                  <c:v>0.32898992833716573</c:v>
                </c:pt>
                <c:pt idx="12">
                  <c:v>0.25000000000000011</c:v>
                </c:pt>
              </c:numCache>
            </c:numRef>
          </c:val>
          <c:smooth val="0"/>
        </c:ser>
        <c:dLbls>
          <c:showLegendKey val="0"/>
          <c:showVal val="0"/>
          <c:showCatName val="0"/>
          <c:showSerName val="0"/>
          <c:showPercent val="0"/>
          <c:showBubbleSize val="0"/>
        </c:dLbls>
        <c:marker val="1"/>
        <c:smooth val="0"/>
        <c:axId val="1406694912"/>
        <c:axId val="1405712576"/>
      </c:lineChart>
      <c:catAx>
        <c:axId val="1406694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405712576"/>
        <c:crosses val="autoZero"/>
        <c:auto val="1"/>
        <c:lblAlgn val="ctr"/>
        <c:lblOffset val="100"/>
        <c:tickLblSkip val="1"/>
        <c:tickMarkSkip val="1"/>
        <c:noMultiLvlLbl val="0"/>
      </c:catAx>
      <c:valAx>
        <c:axId val="14057125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406694912"/>
        <c:crosses val="autoZero"/>
        <c:crossBetween val="between"/>
      </c:valAx>
      <c:spPr>
        <a:solidFill>
          <a:srgbClr val="C0C0C0"/>
        </a:solidFill>
        <a:ln w="12700">
          <a:solidFill>
            <a:srgbClr val="808080"/>
          </a:solidFill>
          <a:prstDash val="solid"/>
        </a:ln>
      </c:spPr>
    </c:plotArea>
    <c:legend>
      <c:legendPos val="r"/>
      <c:layout>
        <c:manualLayout>
          <c:xMode val="edge"/>
          <c:yMode val="edge"/>
          <c:x val="0.83399209486166004"/>
          <c:y val="0.4206649814529641"/>
          <c:w val="0.15019762845849804"/>
          <c:h val="7.7490774907749083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de-DE"/>
              <a:t>Durchgangsfläche bei verschiedenen Einfallswinkeln</a:t>
            </a:r>
          </a:p>
        </c:rich>
      </c:tx>
      <c:layout>
        <c:manualLayout>
          <c:xMode val="edge"/>
          <c:yMode val="edge"/>
          <c:x val="0.10588235294117647"/>
          <c:y val="3.0232558139534883E-2"/>
        </c:manualLayout>
      </c:layout>
      <c:overlay val="0"/>
      <c:spPr>
        <a:noFill/>
        <a:ln w="25400">
          <a:noFill/>
        </a:ln>
      </c:spPr>
    </c:title>
    <c:autoTitleDeleted val="0"/>
    <c:plotArea>
      <c:layout>
        <c:manualLayout>
          <c:layoutTarget val="inner"/>
          <c:xMode val="edge"/>
          <c:yMode val="edge"/>
          <c:x val="0.18088235294117647"/>
          <c:y val="0.19069789096326645"/>
          <c:w val="0.6588235294117647"/>
          <c:h val="0.6255821057209594"/>
        </c:manualLayout>
      </c:layout>
      <c:lineChart>
        <c:grouping val="standard"/>
        <c:varyColors val="0"/>
        <c:ser>
          <c:idx val="0"/>
          <c:order val="0"/>
          <c:spPr>
            <a:ln w="12700">
              <a:solidFill>
                <a:srgbClr val="000080"/>
              </a:solidFill>
              <a:prstDash val="solid"/>
            </a:ln>
          </c:spPr>
          <c:marker>
            <c:symbol val="none"/>
          </c:marker>
          <c:cat>
            <c:numLit>
              <c:formatCode>General</c:formatCode>
              <c:ptCount val="11"/>
              <c:pt idx="0">
                <c:v>0</c:v>
              </c:pt>
              <c:pt idx="1">
                <c:v>5</c:v>
              </c:pt>
              <c:pt idx="2">
                <c:v>10</c:v>
              </c:pt>
              <c:pt idx="3">
                <c:v>15</c:v>
              </c:pt>
              <c:pt idx="4">
                <c:v>20</c:v>
              </c:pt>
              <c:pt idx="5">
                <c:v>25</c:v>
              </c:pt>
              <c:pt idx="6">
                <c:v>30</c:v>
              </c:pt>
              <c:pt idx="7">
                <c:v>35</c:v>
              </c:pt>
              <c:pt idx="8">
                <c:v>40</c:v>
              </c:pt>
              <c:pt idx="9">
                <c:v>45</c:v>
              </c:pt>
              <c:pt idx="10">
                <c:v>50</c:v>
              </c:pt>
            </c:numLit>
          </c:cat>
          <c:val>
            <c:numLit>
              <c:formatCode>0.00%</c:formatCode>
              <c:ptCount val="11"/>
              <c:pt idx="0">
                <c:v>1</c:v>
              </c:pt>
              <c:pt idx="1">
                <c:v>0.99619469809174577</c:v>
              </c:pt>
              <c:pt idx="2">
                <c:v>0.98480775301220813</c:v>
              </c:pt>
              <c:pt idx="3">
                <c:v>0.96592582628906842</c:v>
              </c:pt>
              <c:pt idx="4">
                <c:v>0.93969262078590843</c:v>
              </c:pt>
              <c:pt idx="5">
                <c:v>0.90630778703664994</c:v>
              </c:pt>
              <c:pt idx="6">
                <c:v>0.8660254037844386</c:v>
              </c:pt>
              <c:pt idx="7">
                <c:v>0.8191520442889918</c:v>
              </c:pt>
              <c:pt idx="8">
                <c:v>0.76604444311897812</c:v>
              </c:pt>
              <c:pt idx="9">
                <c:v>0.70710678118654746</c:v>
              </c:pt>
              <c:pt idx="10">
                <c:v>0.64278760968653925</c:v>
              </c:pt>
            </c:numLit>
          </c:val>
          <c:smooth val="0"/>
        </c:ser>
        <c:dLbls>
          <c:showLegendKey val="0"/>
          <c:showVal val="0"/>
          <c:showCatName val="0"/>
          <c:showSerName val="0"/>
          <c:showPercent val="0"/>
          <c:showBubbleSize val="0"/>
        </c:dLbls>
        <c:marker val="1"/>
        <c:smooth val="0"/>
        <c:axId val="1406696960"/>
        <c:axId val="1405506624"/>
      </c:lineChart>
      <c:catAx>
        <c:axId val="14066969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DE"/>
                  <a:t>Einfallswinkel</a:t>
                </a:r>
              </a:p>
            </c:rich>
          </c:tx>
          <c:layout>
            <c:manualLayout>
              <c:xMode val="edge"/>
              <c:yMode val="edge"/>
              <c:x val="0.42941176470588233"/>
              <c:y val="0.90000097662210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1405506624"/>
        <c:crosses val="autoZero"/>
        <c:auto val="1"/>
        <c:lblAlgn val="ctr"/>
        <c:lblOffset val="100"/>
        <c:tickLblSkip val="1"/>
        <c:tickMarkSkip val="1"/>
        <c:noMultiLvlLbl val="0"/>
      </c:catAx>
      <c:valAx>
        <c:axId val="14055066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e-DE"/>
                  <a:t>Helligkeit</a:t>
                </a:r>
              </a:p>
            </c:rich>
          </c:tx>
          <c:layout>
            <c:manualLayout>
              <c:xMode val="edge"/>
              <c:yMode val="edge"/>
              <c:x val="2.2058823529411766E-2"/>
              <c:y val="0.4139539766831471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1406696960"/>
        <c:crosses val="autoZero"/>
        <c:crossBetween val="between"/>
      </c:valAx>
      <c:spPr>
        <a:solidFill>
          <a:srgbClr val="C0C0C0"/>
        </a:solidFill>
        <a:ln w="12700">
          <a:solidFill>
            <a:srgbClr val="808080"/>
          </a:solidFill>
          <a:prstDash val="solid"/>
        </a:ln>
      </c:spPr>
    </c:plotArea>
    <c:legend>
      <c:legendPos val="r"/>
      <c:layout>
        <c:manualLayout>
          <c:xMode val="edge"/>
          <c:yMode val="edge"/>
          <c:x val="0.85588235294117643"/>
          <c:y val="0.45814002319477504"/>
          <c:w val="0.13235294117647056"/>
          <c:h val="5.8139534883720978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25" b="0" i="0" u="none" strike="noStrike" baseline="0">
                <a:solidFill>
                  <a:srgbClr val="000000"/>
                </a:solidFill>
                <a:latin typeface="Arial"/>
                <a:ea typeface="Arial"/>
                <a:cs typeface="Arial"/>
              </a:defRPr>
            </a:pPr>
            <a:r>
              <a:rPr lang="de-DE" sz="2050" b="1" i="0" u="none" strike="noStrike" baseline="0">
                <a:solidFill>
                  <a:srgbClr val="000000"/>
                </a:solidFill>
                <a:latin typeface="Arial"/>
                <a:cs typeface="Arial"/>
              </a:rPr>
              <a:t>Lambert´sches Gesetz</a:t>
            </a:r>
          </a:p>
        </c:rich>
      </c:tx>
      <c:layout>
        <c:manualLayout>
          <c:xMode val="edge"/>
          <c:yMode val="edge"/>
          <c:x val="0.29508239748719933"/>
          <c:y val="3.4985422740524783E-2"/>
        </c:manualLayout>
      </c:layout>
      <c:overlay val="0"/>
      <c:spPr>
        <a:noFill/>
        <a:ln w="25400">
          <a:noFill/>
        </a:ln>
      </c:spPr>
    </c:title>
    <c:autoTitleDeleted val="0"/>
    <c:plotArea>
      <c:layout>
        <c:manualLayout>
          <c:layoutTarget val="inner"/>
          <c:xMode val="edge"/>
          <c:yMode val="edge"/>
          <c:x val="0.13251383798913238"/>
          <c:y val="0.25947558803808884"/>
          <c:w val="0.5724051352314069"/>
          <c:h val="0.53061300025766478"/>
        </c:manualLayout>
      </c:layout>
      <c:lineChart>
        <c:grouping val="standard"/>
        <c:varyColors val="0"/>
        <c:ser>
          <c:idx val="1"/>
          <c:order val="0"/>
          <c:tx>
            <c:v>Lichtweglänge</c:v>
          </c:tx>
          <c:spPr>
            <a:ln w="12700">
              <a:solidFill>
                <a:srgbClr val="FF00FF"/>
              </a:solidFill>
              <a:prstDash val="solid"/>
            </a:ln>
          </c:spPr>
          <c:marker>
            <c:symbol val="none"/>
          </c:marker>
          <c:cat>
            <c:numLit>
              <c:formatCode>General</c:formatCode>
              <c:ptCount val="11"/>
              <c:pt idx="0">
                <c:v>10</c:v>
              </c:pt>
              <c:pt idx="1">
                <c:v>15</c:v>
              </c:pt>
              <c:pt idx="2">
                <c:v>20</c:v>
              </c:pt>
              <c:pt idx="3">
                <c:v>25</c:v>
              </c:pt>
              <c:pt idx="4">
                <c:v>30</c:v>
              </c:pt>
              <c:pt idx="5">
                <c:v>35</c:v>
              </c:pt>
              <c:pt idx="6">
                <c:v>40</c:v>
              </c:pt>
              <c:pt idx="7">
                <c:v>45</c:v>
              </c:pt>
              <c:pt idx="8">
                <c:v>50</c:v>
              </c:pt>
              <c:pt idx="9">
                <c:v>55</c:v>
              </c:pt>
              <c:pt idx="10">
                <c:v>60</c:v>
              </c:pt>
            </c:numLit>
          </c:cat>
          <c:val>
            <c:numLit>
              <c:formatCode>0.00</c:formatCode>
              <c:ptCount val="11"/>
              <c:pt idx="0">
                <c:v>101.5426611885745</c:v>
              </c:pt>
              <c:pt idx="1">
                <c:v>103.5276180410083</c:v>
              </c:pt>
              <c:pt idx="2">
                <c:v>106.4177772475912</c:v>
              </c:pt>
              <c:pt idx="3">
                <c:v>110.33779189624917</c:v>
              </c:pt>
              <c:pt idx="4">
                <c:v>115.47005383792515</c:v>
              </c:pt>
              <c:pt idx="5">
                <c:v>122.0774588761456</c:v>
              </c:pt>
              <c:pt idx="6">
                <c:v>130.54072893322785</c:v>
              </c:pt>
              <c:pt idx="7">
                <c:v>141.42135623730948</c:v>
              </c:pt>
              <c:pt idx="8">
                <c:v>155.57238268604124</c:v>
              </c:pt>
              <c:pt idx="9">
                <c:v>174.34467956210977</c:v>
              </c:pt>
              <c:pt idx="10">
                <c:v>199.99999999999994</c:v>
              </c:pt>
            </c:numLit>
          </c:val>
          <c:smooth val="0"/>
        </c:ser>
        <c:ser>
          <c:idx val="2"/>
          <c:order val="1"/>
          <c:tx>
            <c:v>Beleuchtungsintensität</c:v>
          </c:tx>
          <c:spPr>
            <a:ln w="12700">
              <a:solidFill>
                <a:srgbClr val="FFFF00"/>
              </a:solidFill>
              <a:prstDash val="solid"/>
            </a:ln>
          </c:spPr>
          <c:marker>
            <c:symbol val="none"/>
          </c:marker>
          <c:cat>
            <c:numLit>
              <c:formatCode>General</c:formatCode>
              <c:ptCount val="11"/>
              <c:pt idx="0">
                <c:v>10</c:v>
              </c:pt>
              <c:pt idx="1">
                <c:v>15</c:v>
              </c:pt>
              <c:pt idx="2">
                <c:v>20</c:v>
              </c:pt>
              <c:pt idx="3">
                <c:v>25</c:v>
              </c:pt>
              <c:pt idx="4">
                <c:v>30</c:v>
              </c:pt>
              <c:pt idx="5">
                <c:v>35</c:v>
              </c:pt>
              <c:pt idx="6">
                <c:v>40</c:v>
              </c:pt>
              <c:pt idx="7">
                <c:v>45</c:v>
              </c:pt>
              <c:pt idx="8">
                <c:v>50</c:v>
              </c:pt>
              <c:pt idx="9">
                <c:v>55</c:v>
              </c:pt>
              <c:pt idx="10">
                <c:v>60</c:v>
              </c:pt>
            </c:numLit>
          </c:cat>
          <c:val>
            <c:numLit>
              <c:formatCode>_-* #,##0.00\ _D_M_-;\-* #,##0.00\ _D_M_-;_-* "-"??\ _D_M_-;_-@_-</c:formatCode>
              <c:ptCount val="11"/>
              <c:pt idx="0">
                <c:v>98.480775301220802</c:v>
              </c:pt>
              <c:pt idx="1">
                <c:v>96.59258262890684</c:v>
              </c:pt>
              <c:pt idx="2">
                <c:v>93.969262078590845</c:v>
              </c:pt>
              <c:pt idx="3">
                <c:v>90.630778703664987</c:v>
              </c:pt>
              <c:pt idx="4">
                <c:v>86.602540378443877</c:v>
              </c:pt>
              <c:pt idx="5">
                <c:v>81.915204428899173</c:v>
              </c:pt>
              <c:pt idx="6">
                <c:v>76.604444311897808</c:v>
              </c:pt>
              <c:pt idx="7">
                <c:v>70.710678118654755</c:v>
              </c:pt>
              <c:pt idx="8">
                <c:v>64.278760968653941</c:v>
              </c:pt>
              <c:pt idx="9">
                <c:v>57.357643635104615</c:v>
              </c:pt>
              <c:pt idx="10">
                <c:v>50.000000000000014</c:v>
              </c:pt>
            </c:numLit>
          </c:val>
          <c:smooth val="0"/>
        </c:ser>
        <c:dLbls>
          <c:showLegendKey val="0"/>
          <c:showVal val="0"/>
          <c:showCatName val="0"/>
          <c:showSerName val="0"/>
          <c:showPercent val="0"/>
          <c:showBubbleSize val="0"/>
        </c:dLbls>
        <c:marker val="1"/>
        <c:smooth val="0"/>
        <c:axId val="1407037440"/>
        <c:axId val="1405508352"/>
      </c:lineChart>
      <c:catAx>
        <c:axId val="140703744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de-DE"/>
                  <a:t>Winkel</a:t>
                </a:r>
              </a:p>
            </c:rich>
          </c:tx>
          <c:layout>
            <c:manualLayout>
              <c:xMode val="edge"/>
              <c:yMode val="edge"/>
              <c:x val="0.38934483599386138"/>
              <c:y val="0.8921295042201357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e-DE"/>
          </a:p>
        </c:txPr>
        <c:crossAx val="1405508352"/>
        <c:crosses val="autoZero"/>
        <c:auto val="1"/>
        <c:lblAlgn val="ctr"/>
        <c:lblOffset val="100"/>
        <c:tickLblSkip val="1"/>
        <c:tickMarkSkip val="1"/>
        <c:noMultiLvlLbl val="0"/>
      </c:catAx>
      <c:valAx>
        <c:axId val="140550835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de-DE"/>
                  <a:t>Beleuchtungsstärke</a:t>
                </a:r>
              </a:p>
            </c:rich>
          </c:tx>
          <c:layout>
            <c:manualLayout>
              <c:xMode val="edge"/>
              <c:yMode val="edge"/>
              <c:x val="2.185792349726776E-2"/>
              <c:y val="0.3381930319934497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e-DE"/>
          </a:p>
        </c:txPr>
        <c:crossAx val="1407037440"/>
        <c:crosses val="autoZero"/>
        <c:crossBetween val="midCat"/>
      </c:valAx>
      <c:spPr>
        <a:solidFill>
          <a:srgbClr val="C0C0C0"/>
        </a:solidFill>
        <a:ln w="12700">
          <a:solidFill>
            <a:srgbClr val="808080"/>
          </a:solidFill>
          <a:prstDash val="solid"/>
        </a:ln>
      </c:spPr>
    </c:plotArea>
    <c:legend>
      <c:legendPos val="r"/>
      <c:layout>
        <c:manualLayout>
          <c:xMode val="edge"/>
          <c:yMode val="edge"/>
          <c:x val="0.73360655737704916"/>
          <c:y val="0.45772594752186591"/>
          <c:w val="0.25546448087431695"/>
          <c:h val="0.1399416909620990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Bildgrößen bei Bildebenen-Schwenkung</a:t>
            </a:r>
          </a:p>
        </c:rich>
      </c:tx>
      <c:layout>
        <c:manualLayout>
          <c:xMode val="edge"/>
          <c:yMode val="edge"/>
          <c:x val="0.34786848225168437"/>
          <c:y val="3.0373831775700934E-2"/>
        </c:manualLayout>
      </c:layout>
      <c:overlay val="0"/>
      <c:spPr>
        <a:noFill/>
        <a:ln w="25400">
          <a:noFill/>
        </a:ln>
      </c:spPr>
    </c:title>
    <c:autoTitleDeleted val="0"/>
    <c:plotArea>
      <c:layout>
        <c:manualLayout>
          <c:layoutTarget val="inner"/>
          <c:xMode val="edge"/>
          <c:yMode val="edge"/>
          <c:x val="8.5209442757411311E-2"/>
          <c:y val="0.15445790862833816"/>
          <c:w val="0.81723601917335387"/>
          <c:h val="0.6132887548478132"/>
        </c:manualLayout>
      </c:layout>
      <c:lineChart>
        <c:grouping val="standard"/>
        <c:varyColors val="0"/>
        <c:ser>
          <c:idx val="0"/>
          <c:order val="0"/>
          <c:tx>
            <c:v>Bildgröße</c:v>
          </c:tx>
          <c:spPr>
            <a:ln w="12700">
              <a:solidFill>
                <a:srgbClr val="000080"/>
              </a:solidFill>
              <a:prstDash val="solid"/>
            </a:ln>
          </c:spPr>
          <c:marker>
            <c:symbol val="none"/>
          </c:marker>
          <c:cat>
            <c:numRef>
              <c:f>Scheimpflug!$E$165:$E$181</c:f>
              <c:numCache>
                <c:formatCode>0.000</c:formatCode>
                <c:ptCount val="17"/>
                <c:pt idx="0">
                  <c:v>222.78797675251516</c:v>
                </c:pt>
                <c:pt idx="1">
                  <c:v>221.72519394416506</c:v>
                </c:pt>
                <c:pt idx="2">
                  <c:v>220.66241113581495</c:v>
                </c:pt>
                <c:pt idx="3">
                  <c:v>219.59962832746484</c:v>
                </c:pt>
                <c:pt idx="4">
                  <c:v>218.53684551911471</c:v>
                </c:pt>
                <c:pt idx="5">
                  <c:v>217.4740627107646</c:v>
                </c:pt>
                <c:pt idx="6">
                  <c:v>216.41127990241449</c:v>
                </c:pt>
                <c:pt idx="7">
                  <c:v>215.34849709406438</c:v>
                </c:pt>
                <c:pt idx="8">
                  <c:v>214.28571428571428</c:v>
                </c:pt>
                <c:pt idx="9">
                  <c:v>213.22293147736417</c:v>
                </c:pt>
                <c:pt idx="10">
                  <c:v>212.16014866901406</c:v>
                </c:pt>
                <c:pt idx="11">
                  <c:v>211.09736586066396</c:v>
                </c:pt>
                <c:pt idx="12">
                  <c:v>210.03458305231385</c:v>
                </c:pt>
                <c:pt idx="13">
                  <c:v>208.97180024396371</c:v>
                </c:pt>
                <c:pt idx="14">
                  <c:v>207.90901743561361</c:v>
                </c:pt>
                <c:pt idx="15">
                  <c:v>206.8462346272635</c:v>
                </c:pt>
                <c:pt idx="16">
                  <c:v>205.78345181891339</c:v>
                </c:pt>
              </c:numCache>
            </c:numRef>
          </c:cat>
          <c:val>
            <c:numRef>
              <c:f>Scheimpflug!$H$165:$H$181</c:f>
              <c:numCache>
                <c:formatCode>0.00</c:formatCode>
                <c:ptCount val="17"/>
                <c:pt idx="0">
                  <c:v>15.945330296127564</c:v>
                </c:pt>
                <c:pt idx="1">
                  <c:v>15.200868621064059</c:v>
                </c:pt>
                <c:pt idx="2">
                  <c:v>14.462809917355372</c:v>
                </c:pt>
                <c:pt idx="3">
                  <c:v>13.725490196078432</c:v>
                </c:pt>
                <c:pt idx="4">
                  <c:v>12.974976830398518</c:v>
                </c:pt>
                <c:pt idx="5">
                  <c:v>12.22707423580786</c:v>
                </c:pt>
                <c:pt idx="6">
                  <c:v>11.484823625922887</c:v>
                </c:pt>
                <c:pt idx="7">
                  <c:v>10.744435917114352</c:v>
                </c:pt>
                <c:pt idx="8">
                  <c:v>10</c:v>
                </c:pt>
                <c:pt idx="9">
                  <c:v>9.2531394580304021</c:v>
                </c:pt>
                <c:pt idx="10">
                  <c:v>8.5106382978723403</c:v>
                </c:pt>
                <c:pt idx="11">
                  <c:v>7.7691453940066593</c:v>
                </c:pt>
                <c:pt idx="12">
                  <c:v>7.0245860511791269</c:v>
                </c:pt>
                <c:pt idx="13">
                  <c:v>6.2808434275459852</c:v>
                </c:pt>
                <c:pt idx="14">
                  <c:v>5.5357848952155004</c:v>
                </c:pt>
                <c:pt idx="15">
                  <c:v>4.7928791509756934</c:v>
                </c:pt>
                <c:pt idx="16">
                  <c:v>4.048582995951417</c:v>
                </c:pt>
              </c:numCache>
            </c:numRef>
          </c:val>
          <c:smooth val="0"/>
        </c:ser>
        <c:dLbls>
          <c:showLegendKey val="0"/>
          <c:showVal val="0"/>
          <c:showCatName val="0"/>
          <c:showSerName val="0"/>
          <c:showPercent val="0"/>
          <c:showBubbleSize val="0"/>
        </c:dLbls>
        <c:marker val="1"/>
        <c:smooth val="0"/>
        <c:axId val="1407606784"/>
        <c:axId val="1407448704"/>
      </c:lineChart>
      <c:catAx>
        <c:axId val="1407606784"/>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de-DE"/>
                  <a:t>Bildweiten</a:t>
                </a:r>
              </a:p>
            </c:rich>
          </c:tx>
          <c:layout>
            <c:manualLayout>
              <c:xMode val="edge"/>
              <c:yMode val="edge"/>
              <c:x val="0.45542678960001792"/>
              <c:y val="0.90887850467289721"/>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2700000" vert="horz"/>
          <a:lstStyle/>
          <a:p>
            <a:pPr>
              <a:defRPr sz="1075" b="0" i="0" u="none" strike="noStrike" baseline="0">
                <a:solidFill>
                  <a:srgbClr val="000000"/>
                </a:solidFill>
                <a:latin typeface="Arial"/>
                <a:ea typeface="Arial"/>
                <a:cs typeface="Arial"/>
              </a:defRPr>
            </a:pPr>
            <a:endParaRPr lang="de-DE"/>
          </a:p>
        </c:txPr>
        <c:crossAx val="1407448704"/>
        <c:crosses val="autoZero"/>
        <c:auto val="1"/>
        <c:lblAlgn val="ctr"/>
        <c:lblOffset val="100"/>
        <c:tickLblSkip val="1"/>
        <c:tickMarkSkip val="1"/>
        <c:noMultiLvlLbl val="0"/>
      </c:catAx>
      <c:valAx>
        <c:axId val="1407448704"/>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de-DE"/>
                  <a:t>Größen in mm</a:t>
                </a:r>
              </a:p>
            </c:rich>
          </c:tx>
          <c:layout>
            <c:manualLayout>
              <c:xMode val="edge"/>
              <c:yMode val="edge"/>
              <c:x val="1.550385973833043E-2"/>
              <c:y val="0.3481308411214953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e-DE"/>
          </a:p>
        </c:txPr>
        <c:crossAx val="1407606784"/>
        <c:crosses val="autoZero"/>
        <c:crossBetween val="between"/>
      </c:valAx>
      <c:spPr>
        <a:solidFill>
          <a:srgbClr val="C0C0C0"/>
        </a:solidFill>
        <a:ln w="12700">
          <a:solidFill>
            <a:srgbClr val="808080"/>
          </a:solidFill>
          <a:prstDash val="solid"/>
        </a:ln>
      </c:spPr>
    </c:plotArea>
    <c:legend>
      <c:legendPos val="r"/>
      <c:layout>
        <c:manualLayout>
          <c:xMode val="edge"/>
          <c:yMode val="edge"/>
          <c:x val="0.91358104453467526"/>
          <c:y val="0.45794392523364486"/>
          <c:w val="7.8822511858382405E-2"/>
          <c:h val="5.6074766355140138E-2"/>
        </c:manualLayout>
      </c:layout>
      <c:overlay val="0"/>
      <c:spPr>
        <a:solidFill>
          <a:srgbClr val="FFFFFF"/>
        </a:solidFill>
        <a:ln w="3175">
          <a:solidFill>
            <a:srgbClr val="000000"/>
          </a:solidFill>
          <a:prstDash val="solid"/>
        </a:ln>
      </c:spPr>
      <c:txPr>
        <a:bodyPr/>
        <a:lstStyle/>
        <a:p>
          <a:pPr>
            <a:defRPr sz="76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de-DE" sz="1200"/>
              <a:t>Schärfentiefe-Ausdehnung vor und hinter der Schärfeebene</a:t>
            </a:r>
          </a:p>
        </c:rich>
      </c:tx>
      <c:layout>
        <c:manualLayout>
          <c:xMode val="edge"/>
          <c:yMode val="edge"/>
          <c:x val="0.16703960619188848"/>
          <c:y val="3.4126984126984124E-2"/>
        </c:manualLayout>
      </c:layout>
      <c:overlay val="0"/>
      <c:spPr>
        <a:noFill/>
        <a:ln w="25400">
          <a:noFill/>
        </a:ln>
      </c:spPr>
    </c:title>
    <c:autoTitleDeleted val="0"/>
    <c:plotArea>
      <c:layout>
        <c:manualLayout>
          <c:layoutTarget val="inner"/>
          <c:xMode val="edge"/>
          <c:yMode val="edge"/>
          <c:x val="0.19867549668874171"/>
          <c:y val="0.21904812836711396"/>
          <c:w val="0.63949013869858728"/>
          <c:h val="0.62143001634583417"/>
        </c:manualLayout>
      </c:layout>
      <c:lineChart>
        <c:grouping val="standard"/>
        <c:varyColors val="0"/>
        <c:ser>
          <c:idx val="0"/>
          <c:order val="0"/>
          <c:tx>
            <c:v>vor Schärfeebene</c:v>
          </c:tx>
          <c:spPr>
            <a:ln w="12700">
              <a:solidFill>
                <a:srgbClr val="000080"/>
              </a:solidFill>
              <a:prstDash val="solid"/>
            </a:ln>
          </c:spPr>
          <c:marker>
            <c:symbol val="none"/>
          </c:marker>
          <c:cat>
            <c:numRef>
              <c:f>Schärfentiefe!$C$129:$J$129</c:f>
              <c:numCache>
                <c:formatCode>0.0</c:formatCode>
                <c:ptCount val="8"/>
                <c:pt idx="0">
                  <c:v>2</c:v>
                </c:pt>
                <c:pt idx="1">
                  <c:v>2.8284271247461903</c:v>
                </c:pt>
                <c:pt idx="2">
                  <c:v>4.0000000000000009</c:v>
                </c:pt>
                <c:pt idx="3">
                  <c:v>5.6568542494923815</c:v>
                </c:pt>
                <c:pt idx="4">
                  <c:v>8.0000000000000018</c:v>
                </c:pt>
                <c:pt idx="5">
                  <c:v>11.313708498984763</c:v>
                </c:pt>
                <c:pt idx="6">
                  <c:v>16.000000000000004</c:v>
                </c:pt>
                <c:pt idx="7">
                  <c:v>22.627416997969526</c:v>
                </c:pt>
              </c:numCache>
            </c:numRef>
          </c:cat>
          <c:val>
            <c:numRef>
              <c:f>Schärfentiefe!$C$142:$J$142</c:f>
              <c:numCache>
                <c:formatCode>0.00</c:formatCode>
                <c:ptCount val="8"/>
                <c:pt idx="0">
                  <c:v>-344.17745127632361</c:v>
                </c:pt>
                <c:pt idx="1">
                  <c:v>-464.65934753213742</c:v>
                </c:pt>
                <c:pt idx="2">
                  <c:v>-617.51050527232019</c:v>
                </c:pt>
                <c:pt idx="3">
                  <c:v>-804.68404121134563</c:v>
                </c:pt>
                <c:pt idx="4">
                  <c:v>-1024.2024249090634</c:v>
                </c:pt>
                <c:pt idx="5">
                  <c:v>-1268.9895389397143</c:v>
                </c:pt>
                <c:pt idx="6">
                  <c:v>-1527.0639745696308</c:v>
                </c:pt>
                <c:pt idx="7">
                  <c:v>-1783.5455355857709</c:v>
                </c:pt>
              </c:numCache>
            </c:numRef>
          </c:val>
          <c:smooth val="0"/>
        </c:ser>
        <c:ser>
          <c:idx val="1"/>
          <c:order val="1"/>
          <c:tx>
            <c:v>nach Schärfeebene</c:v>
          </c:tx>
          <c:spPr>
            <a:ln w="12700">
              <a:solidFill>
                <a:srgbClr val="FF00FF"/>
              </a:solidFill>
              <a:prstDash val="solid"/>
            </a:ln>
          </c:spPr>
          <c:marker>
            <c:symbol val="none"/>
          </c:marker>
          <c:cat>
            <c:numRef>
              <c:f>Schärfentiefe!$C$129:$J$129</c:f>
              <c:numCache>
                <c:formatCode>0.0</c:formatCode>
                <c:ptCount val="8"/>
                <c:pt idx="0">
                  <c:v>2</c:v>
                </c:pt>
                <c:pt idx="1">
                  <c:v>2.8284271247461903</c:v>
                </c:pt>
                <c:pt idx="2">
                  <c:v>4.0000000000000009</c:v>
                </c:pt>
                <c:pt idx="3">
                  <c:v>5.6568542494923815</c:v>
                </c:pt>
                <c:pt idx="4">
                  <c:v>8.0000000000000018</c:v>
                </c:pt>
                <c:pt idx="5">
                  <c:v>11.313708498984763</c:v>
                </c:pt>
                <c:pt idx="6">
                  <c:v>16.000000000000004</c:v>
                </c:pt>
                <c:pt idx="7">
                  <c:v>22.627416997969526</c:v>
                </c:pt>
              </c:numCache>
            </c:numRef>
          </c:cat>
          <c:val>
            <c:numRef>
              <c:f>Schärfentiefe!$C$144:$J$144</c:f>
              <c:numCache>
                <c:formatCode>0.00</c:formatCode>
                <c:ptCount val="8"/>
                <c:pt idx="0">
                  <c:v>446.66560406229792</c:v>
                </c:pt>
                <c:pt idx="1">
                  <c:v>673.19777276864988</c:v>
                </c:pt>
                <c:pt idx="2">
                  <c:v>1049.6054213022776</c:v>
                </c:pt>
                <c:pt idx="3">
                  <c:v>1735.9389592032967</c:v>
                </c:pt>
                <c:pt idx="4">
                  <c:v>3228.9017804892555</c:v>
                </c:pt>
                <c:pt idx="5">
                  <c:v>8239.8186630727032</c:v>
                </c:pt>
                <c:pt idx="6">
                  <c:v>78636.347701301158</c:v>
                </c:pt>
                <c:pt idx="7">
                  <c:v>3435.233384478337</c:v>
                </c:pt>
              </c:numCache>
            </c:numRef>
          </c:val>
          <c:smooth val="0"/>
        </c:ser>
        <c:dLbls>
          <c:showLegendKey val="0"/>
          <c:showVal val="0"/>
          <c:showCatName val="0"/>
          <c:showSerName val="0"/>
          <c:showPercent val="0"/>
          <c:showBubbleSize val="0"/>
        </c:dLbls>
        <c:marker val="1"/>
        <c:smooth val="0"/>
        <c:axId val="1406951424"/>
        <c:axId val="1404769344"/>
      </c:lineChart>
      <c:catAx>
        <c:axId val="140695142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475" b="1" i="0" u="none" strike="noStrike" baseline="0">
                    <a:solidFill>
                      <a:srgbClr val="000000"/>
                    </a:solidFill>
                    <a:latin typeface="Arial"/>
                    <a:ea typeface="Arial"/>
                    <a:cs typeface="Arial"/>
                  </a:defRPr>
                </a:pPr>
                <a:r>
                  <a:rPr lang="de-DE" sz="1000"/>
                  <a:t>Blenden</a:t>
                </a:r>
              </a:p>
            </c:rich>
          </c:tx>
          <c:layout>
            <c:manualLayout>
              <c:xMode val="edge"/>
              <c:yMode val="edge"/>
              <c:x val="0.42507407155659382"/>
              <c:y val="0.86568210689558456"/>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de-DE"/>
          </a:p>
        </c:txPr>
        <c:crossAx val="1404769344"/>
        <c:crosses val="autoZero"/>
        <c:auto val="1"/>
        <c:lblAlgn val="ctr"/>
        <c:lblOffset val="1000"/>
        <c:tickLblSkip val="1"/>
        <c:tickMarkSkip val="1"/>
        <c:noMultiLvlLbl val="0"/>
      </c:catAx>
      <c:valAx>
        <c:axId val="1404769344"/>
        <c:scaling>
          <c:orientation val="minMax"/>
        </c:scaling>
        <c:delete val="0"/>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de-DE" sz="1050" b="0"/>
                  <a:t>Ausdehnung vor und hinter Schärfebene</a:t>
                </a:r>
              </a:p>
            </c:rich>
          </c:tx>
          <c:layout>
            <c:manualLayout>
              <c:xMode val="edge"/>
              <c:yMode val="edge"/>
              <c:x val="2.3995106018381052E-2"/>
              <c:y val="0.2290705016520427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475" b="0" i="0" u="none" strike="noStrike" baseline="0">
                <a:solidFill>
                  <a:srgbClr val="000000"/>
                </a:solidFill>
                <a:latin typeface="Arial"/>
                <a:ea typeface="Arial"/>
                <a:cs typeface="Arial"/>
              </a:defRPr>
            </a:pPr>
            <a:endParaRPr lang="de-DE"/>
          </a:p>
        </c:txPr>
        <c:crossAx val="1406951424"/>
        <c:crosses val="autoZero"/>
        <c:crossBetween val="between"/>
      </c:valAx>
      <c:spPr>
        <a:solidFill>
          <a:srgbClr val="C0C0C0"/>
        </a:solidFill>
        <a:ln w="12700">
          <a:solidFill>
            <a:srgbClr val="808080"/>
          </a:solidFill>
          <a:prstDash val="solid"/>
        </a:ln>
      </c:spPr>
    </c:plotArea>
    <c:legend>
      <c:legendPos val="r"/>
      <c:layout>
        <c:manualLayout>
          <c:xMode val="edge"/>
          <c:yMode val="edge"/>
          <c:x val="0.23329367109438448"/>
          <c:y val="0.23986024419012397"/>
          <c:w val="0.48119673591459861"/>
          <c:h val="9.770614300742772E-2"/>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4042593805368138"/>
          <c:y val="3.1319910514541388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de-DE"/>
        </a:p>
      </c:txPr>
    </c:title>
    <c:autoTitleDeleted val="0"/>
    <c:plotArea>
      <c:layout>
        <c:manualLayout>
          <c:layoutTarget val="inner"/>
          <c:xMode val="edge"/>
          <c:yMode val="edge"/>
          <c:x val="0.23017429862629449"/>
          <c:y val="0.16107417740268762"/>
          <c:w val="0.47775673748482972"/>
          <c:h val="0.62416243743541455"/>
        </c:manualLayout>
      </c:layout>
      <c:lineChart>
        <c:grouping val="standard"/>
        <c:varyColors val="0"/>
        <c:ser>
          <c:idx val="0"/>
          <c:order val="0"/>
          <c:tx>
            <c:v>Gesamte Schärfentiefe</c:v>
          </c:tx>
          <c:spPr>
            <a:ln w="12700">
              <a:solidFill>
                <a:srgbClr val="000080"/>
              </a:solidFill>
              <a:prstDash val="solid"/>
            </a:ln>
          </c:spPr>
          <c:marker>
            <c:symbol val="none"/>
          </c:marker>
          <c:cat>
            <c:numRef>
              <c:f>Schärfentiefe!$C$129:$J$129</c:f>
              <c:numCache>
                <c:formatCode>0.0</c:formatCode>
                <c:ptCount val="8"/>
                <c:pt idx="0">
                  <c:v>2</c:v>
                </c:pt>
                <c:pt idx="1">
                  <c:v>2.8284271247461903</c:v>
                </c:pt>
                <c:pt idx="2">
                  <c:v>4.0000000000000009</c:v>
                </c:pt>
                <c:pt idx="3">
                  <c:v>5.6568542494923815</c:v>
                </c:pt>
                <c:pt idx="4">
                  <c:v>8.0000000000000018</c:v>
                </c:pt>
                <c:pt idx="5">
                  <c:v>11.313708498984763</c:v>
                </c:pt>
                <c:pt idx="6">
                  <c:v>16.000000000000004</c:v>
                </c:pt>
                <c:pt idx="7">
                  <c:v>22.627416997969526</c:v>
                </c:pt>
              </c:numCache>
            </c:numRef>
          </c:cat>
          <c:val>
            <c:numRef>
              <c:f>Schärfentiefe!$C$143:$J$143</c:f>
              <c:numCache>
                <c:formatCode>0.00</c:formatCode>
                <c:ptCount val="8"/>
                <c:pt idx="0">
                  <c:v>790.84305533862175</c:v>
                </c:pt>
                <c:pt idx="1">
                  <c:v>1137.8571203007875</c:v>
                </c:pt>
                <c:pt idx="2">
                  <c:v>1667.1159265745982</c:v>
                </c:pt>
                <c:pt idx="3">
                  <c:v>2540.6230004146428</c:v>
                </c:pt>
                <c:pt idx="4">
                  <c:v>4253.1042053983192</c:v>
                </c:pt>
                <c:pt idx="5">
                  <c:v>9508.8082020124184</c:v>
                </c:pt>
                <c:pt idx="6">
                  <c:v>-83109.283726731228</c:v>
                </c:pt>
                <c:pt idx="7">
                  <c:v>-7651.6878488925668</c:v>
                </c:pt>
              </c:numCache>
            </c:numRef>
          </c:val>
          <c:smooth val="0"/>
        </c:ser>
        <c:dLbls>
          <c:showLegendKey val="0"/>
          <c:showVal val="0"/>
          <c:showCatName val="0"/>
          <c:showSerName val="0"/>
          <c:showPercent val="0"/>
          <c:showBubbleSize val="0"/>
        </c:dLbls>
        <c:marker val="1"/>
        <c:smooth val="0"/>
        <c:axId val="1407769600"/>
        <c:axId val="1404771072"/>
      </c:lineChart>
      <c:catAx>
        <c:axId val="140776960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DE"/>
                  <a:t>Blenden</a:t>
                </a:r>
              </a:p>
            </c:rich>
          </c:tx>
          <c:layout>
            <c:manualLayout>
              <c:xMode val="edge"/>
              <c:yMode val="edge"/>
              <c:x val="0.4003872533341456"/>
              <c:y val="0.9015678744854879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de-DE"/>
          </a:p>
        </c:txPr>
        <c:crossAx val="1404771072"/>
        <c:crosses val="autoZero"/>
        <c:auto val="1"/>
        <c:lblAlgn val="ctr"/>
        <c:lblOffset val="100"/>
        <c:tickLblSkip val="1"/>
        <c:tickMarkSkip val="1"/>
        <c:noMultiLvlLbl val="0"/>
      </c:catAx>
      <c:valAx>
        <c:axId val="14047710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e-DE"/>
                  <a:t>Größe Schärfentiefenzone</a:t>
                </a:r>
              </a:p>
            </c:rich>
          </c:tx>
          <c:layout>
            <c:manualLayout>
              <c:xMode val="edge"/>
              <c:yMode val="edge"/>
              <c:x val="3.0947775628626693E-2"/>
              <c:y val="0.2416112079949737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1407769600"/>
        <c:crosses val="autoZero"/>
        <c:crossBetween val="between"/>
      </c:valAx>
      <c:spPr>
        <a:solidFill>
          <a:srgbClr val="C0C0C0"/>
        </a:solidFill>
        <a:ln w="12700">
          <a:solidFill>
            <a:srgbClr val="808080"/>
          </a:solidFill>
          <a:prstDash val="solid"/>
        </a:ln>
      </c:spPr>
    </c:plotArea>
    <c:legend>
      <c:legendPos val="r"/>
      <c:layout>
        <c:manualLayout>
          <c:xMode val="edge"/>
          <c:yMode val="edge"/>
          <c:x val="0.72920757245769818"/>
          <c:y val="0.42058259496086475"/>
          <c:w val="0.25338511602877489"/>
          <c:h val="9.8434239344243057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de-DE" sz="1200"/>
              <a:t>Schärfentiefezone bei verschiedenen Blenden</a:t>
            </a:r>
            <a:r>
              <a:rPr lang="de-DE"/>
              <a:t>
</a:t>
            </a:r>
          </a:p>
        </c:rich>
      </c:tx>
      <c:layout>
        <c:manualLayout>
          <c:xMode val="edge"/>
          <c:yMode val="edge"/>
          <c:x val="0.10686841400271603"/>
          <c:y val="3.7037037037037035E-2"/>
        </c:manualLayout>
      </c:layout>
      <c:overlay val="0"/>
      <c:spPr>
        <a:noFill/>
        <a:ln w="25400">
          <a:noFill/>
        </a:ln>
      </c:spPr>
    </c:title>
    <c:autoTitleDeleted val="0"/>
    <c:plotArea>
      <c:layout>
        <c:manualLayout>
          <c:layoutTarget val="inner"/>
          <c:xMode val="edge"/>
          <c:yMode val="edge"/>
          <c:x val="0.13016542057300468"/>
          <c:y val="0.15602872901136094"/>
          <c:w val="0.8119842902411244"/>
          <c:h val="0.62647898769713106"/>
        </c:manualLayout>
      </c:layout>
      <c:lineChart>
        <c:grouping val="standard"/>
        <c:varyColors val="0"/>
        <c:ser>
          <c:idx val="0"/>
          <c:order val="0"/>
          <c:tx>
            <c:v>vor Schärfeebene</c:v>
          </c:tx>
          <c:spPr>
            <a:ln w="12700">
              <a:solidFill>
                <a:srgbClr val="000080"/>
              </a:solidFill>
              <a:prstDash val="solid"/>
            </a:ln>
          </c:spPr>
          <c:marker>
            <c:symbol val="none"/>
          </c:marker>
          <c:cat>
            <c:numRef>
              <c:f>Schärfentiefe!$C$129:$J$129</c:f>
              <c:numCache>
                <c:formatCode>0.0</c:formatCode>
                <c:ptCount val="8"/>
                <c:pt idx="0">
                  <c:v>2</c:v>
                </c:pt>
                <c:pt idx="1">
                  <c:v>2.8284271247461903</c:v>
                </c:pt>
                <c:pt idx="2">
                  <c:v>4.0000000000000009</c:v>
                </c:pt>
                <c:pt idx="3">
                  <c:v>5.6568542494923815</c:v>
                </c:pt>
                <c:pt idx="4">
                  <c:v>8.0000000000000018</c:v>
                </c:pt>
                <c:pt idx="5">
                  <c:v>11.313708498984763</c:v>
                </c:pt>
                <c:pt idx="6">
                  <c:v>16.000000000000004</c:v>
                </c:pt>
                <c:pt idx="7">
                  <c:v>22.627416997969526</c:v>
                </c:pt>
              </c:numCache>
            </c:numRef>
          </c:cat>
          <c:val>
            <c:numRef>
              <c:f>Schärfentiefe!$C$139:$J$139</c:f>
              <c:numCache>
                <c:formatCode>0.00</c:formatCode>
                <c:ptCount val="8"/>
                <c:pt idx="0">
                  <c:v>2655.8225487236764</c:v>
                </c:pt>
                <c:pt idx="1">
                  <c:v>2535.3406524678626</c:v>
                </c:pt>
                <c:pt idx="2">
                  <c:v>2382.4894947276794</c:v>
                </c:pt>
                <c:pt idx="3">
                  <c:v>2195.3159587886544</c:v>
                </c:pt>
                <c:pt idx="4">
                  <c:v>1975.7975750909363</c:v>
                </c:pt>
                <c:pt idx="5">
                  <c:v>1731.0104610602857</c:v>
                </c:pt>
                <c:pt idx="6">
                  <c:v>1472.936025430369</c:v>
                </c:pt>
                <c:pt idx="7">
                  <c:v>1216.4544644142291</c:v>
                </c:pt>
              </c:numCache>
            </c:numRef>
          </c:val>
          <c:smooth val="0"/>
        </c:ser>
        <c:ser>
          <c:idx val="1"/>
          <c:order val="1"/>
          <c:tx>
            <c:v>hinter Schärfeebene</c:v>
          </c:tx>
          <c:spPr>
            <a:ln w="12700">
              <a:solidFill>
                <a:srgbClr val="FF00FF"/>
              </a:solidFill>
              <a:prstDash val="solid"/>
            </a:ln>
          </c:spPr>
          <c:marker>
            <c:symbol val="none"/>
          </c:marker>
          <c:cat>
            <c:numRef>
              <c:f>Schärfentiefe!$C$129:$J$129</c:f>
              <c:numCache>
                <c:formatCode>0.0</c:formatCode>
                <c:ptCount val="8"/>
                <c:pt idx="0">
                  <c:v>2</c:v>
                </c:pt>
                <c:pt idx="1">
                  <c:v>2.8284271247461903</c:v>
                </c:pt>
                <c:pt idx="2">
                  <c:v>4.0000000000000009</c:v>
                </c:pt>
                <c:pt idx="3">
                  <c:v>5.6568542494923815</c:v>
                </c:pt>
                <c:pt idx="4">
                  <c:v>8.0000000000000018</c:v>
                </c:pt>
                <c:pt idx="5">
                  <c:v>11.313708498984763</c:v>
                </c:pt>
                <c:pt idx="6">
                  <c:v>16.000000000000004</c:v>
                </c:pt>
                <c:pt idx="7">
                  <c:v>22.627416997969526</c:v>
                </c:pt>
              </c:numCache>
            </c:numRef>
          </c:cat>
          <c:val>
            <c:numRef>
              <c:f>Schärfentiefe!$C$140:$J$140</c:f>
              <c:numCache>
                <c:formatCode>0.00</c:formatCode>
                <c:ptCount val="8"/>
                <c:pt idx="0">
                  <c:v>3446.6656040622979</c:v>
                </c:pt>
                <c:pt idx="1">
                  <c:v>3673.1977727686503</c:v>
                </c:pt>
                <c:pt idx="2">
                  <c:v>4049.6054213022776</c:v>
                </c:pt>
                <c:pt idx="3">
                  <c:v>4735.9389592032967</c:v>
                </c:pt>
                <c:pt idx="4">
                  <c:v>6228.9017804892555</c:v>
                </c:pt>
                <c:pt idx="5">
                  <c:v>11239.818663072705</c:v>
                </c:pt>
                <c:pt idx="6">
                  <c:v>81636.347701300911</c:v>
                </c:pt>
                <c:pt idx="7">
                  <c:v>6435.2333844783361</c:v>
                </c:pt>
              </c:numCache>
            </c:numRef>
          </c:val>
          <c:smooth val="0"/>
        </c:ser>
        <c:dLbls>
          <c:showLegendKey val="0"/>
          <c:showVal val="0"/>
          <c:showCatName val="0"/>
          <c:showSerName val="0"/>
          <c:showPercent val="0"/>
          <c:showBubbleSize val="0"/>
        </c:dLbls>
        <c:marker val="1"/>
        <c:smooth val="0"/>
        <c:axId val="1406952960"/>
        <c:axId val="1406280256"/>
      </c:lineChart>
      <c:catAx>
        <c:axId val="1406952960"/>
        <c:scaling>
          <c:orientation val="minMax"/>
        </c:scaling>
        <c:delete val="0"/>
        <c:axPos val="b"/>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sz="1100"/>
                  <a:t>Blenden</a:t>
                </a:r>
              </a:p>
            </c:rich>
          </c:tx>
          <c:layout>
            <c:manualLayout>
              <c:xMode val="edge"/>
              <c:yMode val="edge"/>
              <c:x val="0.34932842655089374"/>
              <c:y val="0.850875762716155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406280256"/>
        <c:crosses val="autoZero"/>
        <c:auto val="1"/>
        <c:lblAlgn val="ctr"/>
        <c:lblOffset val="100"/>
        <c:tickLblSkip val="1"/>
        <c:tickMarkSkip val="1"/>
        <c:noMultiLvlLbl val="0"/>
      </c:catAx>
      <c:valAx>
        <c:axId val="140628025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406952960"/>
        <c:crosses val="autoZero"/>
        <c:crossBetween val="midCat"/>
      </c:valAx>
      <c:spPr>
        <a:solidFill>
          <a:srgbClr val="C0C0C0"/>
        </a:solidFill>
        <a:ln w="12700">
          <a:solidFill>
            <a:srgbClr val="808080"/>
          </a:solidFill>
          <a:prstDash val="solid"/>
        </a:ln>
      </c:spPr>
    </c:plotArea>
    <c:legend>
      <c:legendPos val="r"/>
      <c:legendEntry>
        <c:idx val="0"/>
        <c:txPr>
          <a:bodyPr/>
          <a:lstStyle/>
          <a:p>
            <a:pPr>
              <a:defRPr sz="1000" b="0" i="0" u="none" strike="noStrike" baseline="0">
                <a:solidFill>
                  <a:srgbClr val="000000"/>
                </a:solidFill>
                <a:latin typeface="Arial"/>
                <a:ea typeface="Arial"/>
                <a:cs typeface="Arial"/>
              </a:defRPr>
            </a:pPr>
            <a:endParaRPr lang="de-DE"/>
          </a:p>
        </c:txPr>
      </c:legendEntry>
      <c:legendEntry>
        <c:idx val="1"/>
        <c:txPr>
          <a:bodyPr/>
          <a:lstStyle/>
          <a:p>
            <a:pPr>
              <a:defRPr sz="1000" b="0" i="0" u="none" strike="noStrike" baseline="0">
                <a:solidFill>
                  <a:srgbClr val="000000"/>
                </a:solidFill>
                <a:latin typeface="Arial"/>
                <a:ea typeface="Arial"/>
                <a:cs typeface="Arial"/>
              </a:defRPr>
            </a:pPr>
            <a:endParaRPr lang="de-DE"/>
          </a:p>
        </c:txPr>
      </c:legendEntry>
      <c:layout>
        <c:manualLayout>
          <c:xMode val="edge"/>
          <c:yMode val="edge"/>
          <c:x val="0.15862280420458014"/>
          <c:y val="0.6437681989617472"/>
          <c:w val="0.63317343122230685"/>
          <c:h val="8.5015064435273568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Schärfentiefe-Zone bei versch. Blenden</a:t>
            </a:r>
          </a:p>
        </c:rich>
      </c:tx>
      <c:layout>
        <c:manualLayout>
          <c:xMode val="edge"/>
          <c:yMode val="edge"/>
          <c:x val="0.19144602851323828"/>
          <c:y val="3.6363636363636362E-2"/>
        </c:manualLayout>
      </c:layout>
      <c:overlay val="0"/>
      <c:spPr>
        <a:noFill/>
        <a:ln w="25400">
          <a:noFill/>
        </a:ln>
      </c:spPr>
    </c:title>
    <c:autoTitleDeleted val="0"/>
    <c:plotArea>
      <c:layout>
        <c:manualLayout>
          <c:layoutTarget val="inner"/>
          <c:xMode val="edge"/>
          <c:yMode val="edge"/>
          <c:x val="0.19755600814663951"/>
          <c:y val="0.24"/>
          <c:w val="0.6089613034623218"/>
          <c:h val="0.50909090909090904"/>
        </c:manualLayout>
      </c:layout>
      <c:lineChart>
        <c:grouping val="standard"/>
        <c:varyColors val="0"/>
        <c:ser>
          <c:idx val="0"/>
          <c:order val="0"/>
          <c:spPr>
            <a:ln w="12700">
              <a:solidFill>
                <a:srgbClr val="000080"/>
              </a:solidFill>
              <a:prstDash val="solid"/>
            </a:ln>
          </c:spPr>
          <c:marker>
            <c:symbol val="none"/>
          </c:marker>
          <c:cat>
            <c:numRef>
              <c:f>'A58'!$C$31:$G$31</c:f>
              <c:numCache>
                <c:formatCode>General</c:formatCode>
                <c:ptCount val="5"/>
                <c:pt idx="0">
                  <c:v>4</c:v>
                </c:pt>
                <c:pt idx="1">
                  <c:v>5.6</c:v>
                </c:pt>
                <c:pt idx="2">
                  <c:v>8</c:v>
                </c:pt>
                <c:pt idx="3">
                  <c:v>11</c:v>
                </c:pt>
                <c:pt idx="4">
                  <c:v>16</c:v>
                </c:pt>
              </c:numCache>
            </c:numRef>
          </c:cat>
          <c:val>
            <c:numRef>
              <c:f>'A58'!$C$32:$G$32</c:f>
              <c:numCache>
                <c:formatCode>0.00</c:formatCode>
                <c:ptCount val="5"/>
                <c:pt idx="0">
                  <c:v>367.84661646725658</c:v>
                </c:pt>
                <c:pt idx="1">
                  <c:v>541.1274109036126</c:v>
                </c:pt>
                <c:pt idx="2">
                  <c:v>866.51068171127304</c:v>
                </c:pt>
                <c:pt idx="3">
                  <c:v>1510.3766152221335</c:v>
                </c:pt>
                <c:pt idx="4">
                  <c:v>6002.0311442112388</c:v>
                </c:pt>
              </c:numCache>
            </c:numRef>
          </c:val>
          <c:smooth val="0"/>
        </c:ser>
        <c:dLbls>
          <c:showLegendKey val="0"/>
          <c:showVal val="0"/>
          <c:showCatName val="0"/>
          <c:showSerName val="0"/>
          <c:showPercent val="0"/>
          <c:showBubbleSize val="0"/>
        </c:dLbls>
        <c:marker val="1"/>
        <c:smooth val="0"/>
        <c:axId val="1409485312"/>
        <c:axId val="1404808000"/>
      </c:lineChart>
      <c:catAx>
        <c:axId val="14094853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de-DE"/>
                  <a:t>Blenden</a:t>
                </a:r>
              </a:p>
            </c:rich>
          </c:tx>
          <c:layout>
            <c:manualLayout>
              <c:xMode val="edge"/>
              <c:yMode val="edge"/>
              <c:x val="0.4439918533604888"/>
              <c:y val="0.8618181818181818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404808000"/>
        <c:crosses val="autoZero"/>
        <c:auto val="1"/>
        <c:lblAlgn val="ctr"/>
        <c:lblOffset val="100"/>
        <c:tickLblSkip val="1"/>
        <c:tickMarkSkip val="1"/>
        <c:noMultiLvlLbl val="0"/>
      </c:catAx>
      <c:valAx>
        <c:axId val="14048080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de-DE"/>
                  <a:t>Ausdehnung</a:t>
                </a:r>
              </a:p>
            </c:rich>
          </c:tx>
          <c:layout>
            <c:manualLayout>
              <c:xMode val="edge"/>
              <c:yMode val="edge"/>
              <c:x val="3.2586558044806514E-2"/>
              <c:y val="0.3454545454545454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409485312"/>
        <c:crosses val="autoZero"/>
        <c:crossBetween val="between"/>
      </c:valAx>
      <c:spPr>
        <a:solidFill>
          <a:srgbClr val="C0C0C0"/>
        </a:solidFill>
        <a:ln w="12700">
          <a:solidFill>
            <a:srgbClr val="808080"/>
          </a:solidFill>
          <a:prstDash val="solid"/>
        </a:ln>
      </c:spPr>
    </c:plotArea>
    <c:legend>
      <c:legendPos val="r"/>
      <c:layout>
        <c:manualLayout>
          <c:xMode val="edge"/>
          <c:yMode val="edge"/>
          <c:x val="0.82892057026476573"/>
          <c:y val="0.45454545454545453"/>
          <c:w val="0.15478615071283097"/>
          <c:h val="8.0000000000000016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Helligkeit-Beleuchtungsabstand</a:t>
            </a:r>
          </a:p>
        </c:rich>
      </c:tx>
      <c:layout>
        <c:manualLayout>
          <c:xMode val="edge"/>
          <c:yMode val="edge"/>
          <c:x val="0.27232166291713533"/>
          <c:y val="3.519061583577713E-2"/>
        </c:manualLayout>
      </c:layout>
      <c:overlay val="0"/>
      <c:spPr>
        <a:noFill/>
        <a:ln w="25400">
          <a:noFill/>
        </a:ln>
      </c:spPr>
    </c:title>
    <c:autoTitleDeleted val="0"/>
    <c:plotArea>
      <c:layout>
        <c:manualLayout>
          <c:layoutTarget val="inner"/>
          <c:xMode val="edge"/>
          <c:yMode val="edge"/>
          <c:x val="0.18754674169079005"/>
          <c:y val="0.18830983709120772"/>
          <c:w val="0.78144475704495853"/>
          <c:h val="0.46330198014503488"/>
        </c:manualLayout>
      </c:layout>
      <c:lineChart>
        <c:grouping val="standard"/>
        <c:varyColors val="0"/>
        <c:ser>
          <c:idx val="0"/>
          <c:order val="0"/>
          <c:tx>
            <c:v>Beleuchtungsabstand</c:v>
          </c:tx>
          <c:spPr>
            <a:ln w="12700">
              <a:solidFill>
                <a:srgbClr val="000080"/>
              </a:solidFill>
              <a:prstDash val="solid"/>
            </a:ln>
          </c:spPr>
          <c:marker>
            <c:symbol val="diamond"/>
            <c:size val="5"/>
            <c:spPr>
              <a:solidFill>
                <a:srgbClr val="000080"/>
              </a:solidFill>
              <a:ln>
                <a:solidFill>
                  <a:srgbClr val="000080"/>
                </a:solidFill>
                <a:prstDash val="solid"/>
              </a:ln>
            </c:spPr>
          </c:marker>
          <c:cat>
            <c:numRef>
              <c:f>'Blenden-Zeiten-Belicht.-Reihen'!$H$175:$N$175</c:f>
              <c:numCache>
                <c:formatCode>0.000%</c:formatCode>
                <c:ptCount val="7"/>
                <c:pt idx="0">
                  <c:v>1</c:v>
                </c:pt>
                <c:pt idx="1">
                  <c:v>0.49999999999999989</c:v>
                </c:pt>
                <c:pt idx="2">
                  <c:v>0.24999999999999989</c:v>
                </c:pt>
                <c:pt idx="3">
                  <c:v>0.12499999999999994</c:v>
                </c:pt>
                <c:pt idx="4">
                  <c:v>6.2499999999999972E-2</c:v>
                </c:pt>
                <c:pt idx="5">
                  <c:v>3.1249999999999986E-2</c:v>
                </c:pt>
                <c:pt idx="6">
                  <c:v>1.5624999999999993E-2</c:v>
                </c:pt>
              </c:numCache>
            </c:numRef>
          </c:cat>
          <c:val>
            <c:numRef>
              <c:f>'Blenden-Zeiten-Belicht.-Reihen'!$H$174:$N$174</c:f>
              <c:numCache>
                <c:formatCode>0.00</c:formatCode>
                <c:ptCount val="7"/>
                <c:pt idx="0">
                  <c:v>1</c:v>
                </c:pt>
                <c:pt idx="1">
                  <c:v>1.4142135623730951</c:v>
                </c:pt>
                <c:pt idx="2">
                  <c:v>2.0000000000000004</c:v>
                </c:pt>
                <c:pt idx="3">
                  <c:v>2.8284271247461907</c:v>
                </c:pt>
                <c:pt idx="4">
                  <c:v>4.0000000000000009</c:v>
                </c:pt>
                <c:pt idx="5">
                  <c:v>5.6568542494923815</c:v>
                </c:pt>
                <c:pt idx="6">
                  <c:v>8.0000000000000018</c:v>
                </c:pt>
              </c:numCache>
            </c:numRef>
          </c:val>
          <c:smooth val="0"/>
        </c:ser>
        <c:dLbls>
          <c:showLegendKey val="0"/>
          <c:showVal val="0"/>
          <c:showCatName val="0"/>
          <c:showSerName val="0"/>
          <c:showPercent val="0"/>
          <c:showBubbleSize val="0"/>
        </c:dLbls>
        <c:marker val="1"/>
        <c:smooth val="0"/>
        <c:axId val="1339334144"/>
        <c:axId val="1335844864"/>
      </c:lineChart>
      <c:catAx>
        <c:axId val="133933414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825" b="1" i="0" u="none" strike="noStrike" baseline="0">
                    <a:solidFill>
                      <a:srgbClr val="000000"/>
                    </a:solidFill>
                    <a:latin typeface="Arial"/>
                    <a:ea typeface="Arial"/>
                    <a:cs typeface="Arial"/>
                  </a:defRPr>
                </a:pPr>
                <a:r>
                  <a:rPr lang="de-DE"/>
                  <a:t>Helligkeit</a:t>
                </a:r>
              </a:p>
            </c:rich>
          </c:tx>
          <c:layout>
            <c:manualLayout>
              <c:xMode val="edge"/>
              <c:yMode val="edge"/>
              <c:x val="0.51785761154855636"/>
              <c:y val="0.8944281524926686"/>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de-DE"/>
          </a:p>
        </c:txPr>
        <c:crossAx val="1335844864"/>
        <c:crosses val="autoZero"/>
        <c:auto val="1"/>
        <c:lblAlgn val="ctr"/>
        <c:lblOffset val="100"/>
        <c:tickLblSkip val="1"/>
        <c:tickMarkSkip val="1"/>
        <c:noMultiLvlLbl val="0"/>
      </c:catAx>
      <c:valAx>
        <c:axId val="1335844864"/>
        <c:scaling>
          <c:orientation val="minMax"/>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de-DE"/>
                  <a:t>Beleuchtungsabstand</a:t>
                </a:r>
              </a:p>
            </c:rich>
          </c:tx>
          <c:layout>
            <c:manualLayout>
              <c:xMode val="edge"/>
              <c:yMode val="edge"/>
              <c:x val="3.5714285714285712E-2"/>
              <c:y val="0.240469208211143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13393341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de-DE"/>
              <a:t>Abstand-Intensität in 1/3-Stufen</a:t>
            </a:r>
          </a:p>
        </c:rich>
      </c:tx>
      <c:layout>
        <c:manualLayout>
          <c:xMode val="edge"/>
          <c:yMode val="edge"/>
          <c:x val="0.32924961715160794"/>
          <c:y val="3.3240997229916899E-2"/>
        </c:manualLayout>
      </c:layout>
      <c:overlay val="0"/>
      <c:spPr>
        <a:noFill/>
        <a:ln w="25400">
          <a:noFill/>
        </a:ln>
      </c:spPr>
    </c:title>
    <c:autoTitleDeleted val="0"/>
    <c:plotArea>
      <c:layout>
        <c:manualLayout>
          <c:layoutTarget val="inner"/>
          <c:xMode val="edge"/>
          <c:yMode val="edge"/>
          <c:x val="0.12863705972434916"/>
          <c:y val="0.22714712163900413"/>
          <c:w val="0.62174578866768759"/>
          <c:h val="0.57340797779602259"/>
        </c:manualLayout>
      </c:layout>
      <c:lineChart>
        <c:grouping val="standard"/>
        <c:varyColors val="0"/>
        <c:ser>
          <c:idx val="0"/>
          <c:order val="0"/>
          <c:tx>
            <c:v>Abstand-Intensität</c:v>
          </c:tx>
          <c:spPr>
            <a:ln w="12700">
              <a:solidFill>
                <a:srgbClr val="000080"/>
              </a:solidFill>
              <a:prstDash val="solid"/>
            </a:ln>
          </c:spPr>
          <c:marker>
            <c:symbol val="diamond"/>
            <c:size val="5"/>
            <c:spPr>
              <a:solidFill>
                <a:srgbClr val="000080"/>
              </a:solidFill>
              <a:ln>
                <a:solidFill>
                  <a:srgbClr val="000080"/>
                </a:solidFill>
                <a:prstDash val="solid"/>
              </a:ln>
            </c:spPr>
          </c:marker>
          <c:cat>
            <c:numRef>
              <c:f>'Blenden-Zeiten-Belicht.-Reihen'!$H$200:$O$200</c:f>
              <c:numCache>
                <c:formatCode>0.0000</c:formatCode>
                <c:ptCount val="8"/>
                <c:pt idx="0">
                  <c:v>1</c:v>
                </c:pt>
                <c:pt idx="1">
                  <c:v>1.122462048309373</c:v>
                </c:pt>
                <c:pt idx="2">
                  <c:v>1.2599210498948732</c:v>
                </c:pt>
                <c:pt idx="3">
                  <c:v>1.4142135623730951</c:v>
                </c:pt>
                <c:pt idx="4">
                  <c:v>1.5874010519681996</c:v>
                </c:pt>
                <c:pt idx="5">
                  <c:v>1.7817974362806788</c:v>
                </c:pt>
                <c:pt idx="6">
                  <c:v>2.0000000000000004</c:v>
                </c:pt>
                <c:pt idx="7">
                  <c:v>2.2449240966187465</c:v>
                </c:pt>
              </c:numCache>
            </c:numRef>
          </c:cat>
          <c:val>
            <c:numRef>
              <c:f>'Blenden-Zeiten-Belicht.-Reihen'!$H$201:$O$201</c:f>
              <c:numCache>
                <c:formatCode>0%</c:formatCode>
                <c:ptCount val="8"/>
                <c:pt idx="0">
                  <c:v>1</c:v>
                </c:pt>
                <c:pt idx="1">
                  <c:v>0.79370052598409968</c:v>
                </c:pt>
                <c:pt idx="2">
                  <c:v>0.62996052494743648</c:v>
                </c:pt>
                <c:pt idx="3">
                  <c:v>0.49999999999999989</c:v>
                </c:pt>
                <c:pt idx="4">
                  <c:v>0.39685026299204978</c:v>
                </c:pt>
                <c:pt idx="5">
                  <c:v>0.31498026247371824</c:v>
                </c:pt>
                <c:pt idx="6">
                  <c:v>0.24999999999999994</c:v>
                </c:pt>
                <c:pt idx="7">
                  <c:v>0.19842513149602489</c:v>
                </c:pt>
              </c:numCache>
            </c:numRef>
          </c:val>
          <c:smooth val="0"/>
        </c:ser>
        <c:dLbls>
          <c:showLegendKey val="0"/>
          <c:showVal val="0"/>
          <c:showCatName val="0"/>
          <c:showSerName val="0"/>
          <c:showPercent val="0"/>
          <c:showBubbleSize val="0"/>
        </c:dLbls>
        <c:marker val="1"/>
        <c:smooth val="0"/>
        <c:axId val="1340424704"/>
        <c:axId val="1335846592"/>
      </c:lineChart>
      <c:catAx>
        <c:axId val="13404247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950" b="1" i="0" u="none" strike="noStrike" baseline="0">
                    <a:solidFill>
                      <a:srgbClr val="000000"/>
                    </a:solidFill>
                    <a:latin typeface="Arial"/>
                    <a:ea typeface="Arial"/>
                    <a:cs typeface="Arial"/>
                  </a:defRPr>
                </a:pPr>
                <a:r>
                  <a:rPr lang="de-DE"/>
                  <a:t>Abstand in m</a:t>
                </a:r>
              </a:p>
            </c:rich>
          </c:tx>
          <c:layout>
            <c:manualLayout>
              <c:xMode val="edge"/>
              <c:yMode val="edge"/>
              <c:x val="0.37366003062787134"/>
              <c:y val="0.89473800539475501"/>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35846592"/>
        <c:crosses val="autoZero"/>
        <c:auto val="1"/>
        <c:lblAlgn val="ctr"/>
        <c:lblOffset val="100"/>
        <c:tickLblSkip val="1"/>
        <c:tickMarkSkip val="1"/>
        <c:noMultiLvlLbl val="0"/>
      </c:catAx>
      <c:valAx>
        <c:axId val="1335846592"/>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de-DE"/>
                  <a:t>relative Helligkeit</a:t>
                </a:r>
              </a:p>
            </c:rich>
          </c:tx>
          <c:layout>
            <c:manualLayout>
              <c:xMode val="edge"/>
              <c:yMode val="edge"/>
              <c:x val="2.4502297090352222E-2"/>
              <c:y val="0.3379507201489010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340424704"/>
        <c:crosses val="autoZero"/>
        <c:crossBetween val="between"/>
      </c:valAx>
      <c:spPr>
        <a:solidFill>
          <a:srgbClr val="C0C0C0"/>
        </a:solidFill>
        <a:ln w="12700">
          <a:solidFill>
            <a:srgbClr val="808080"/>
          </a:solidFill>
          <a:prstDash val="solid"/>
        </a:ln>
      </c:spPr>
    </c:plotArea>
    <c:legend>
      <c:legendPos val="r"/>
      <c:layout>
        <c:manualLayout>
          <c:xMode val="edge"/>
          <c:yMode val="edge"/>
          <c:x val="0.76569678407350694"/>
          <c:y val="0.48199504147854094"/>
          <c:w val="0.22052067381316998"/>
          <c:h val="6.0941828254847674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Vergütung</a:t>
            </a:r>
          </a:p>
        </c:rich>
      </c:tx>
      <c:layout>
        <c:manualLayout>
          <c:xMode val="edge"/>
          <c:yMode val="edge"/>
          <c:x val="0.38726790450928383"/>
          <c:y val="3.9130434782608699E-2"/>
        </c:manualLayout>
      </c:layout>
      <c:overlay val="0"/>
      <c:spPr>
        <a:noFill/>
        <a:ln w="25400">
          <a:noFill/>
        </a:ln>
      </c:spPr>
    </c:title>
    <c:autoTitleDeleted val="0"/>
    <c:plotArea>
      <c:layout>
        <c:manualLayout>
          <c:layoutTarget val="inner"/>
          <c:xMode val="edge"/>
          <c:yMode val="edge"/>
          <c:x val="0.33362811263672332"/>
          <c:y val="0.16257952070341056"/>
          <c:w val="0.63018643498047733"/>
          <c:h val="0.54718123932843887"/>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Vergütung!$C$57:$I$57</c:f>
              <c:numCache>
                <c:formatCode>0.00</c:formatCode>
                <c:ptCount val="7"/>
                <c:pt idx="0">
                  <c:v>1</c:v>
                </c:pt>
                <c:pt idx="1">
                  <c:v>1.1000000000000001</c:v>
                </c:pt>
                <c:pt idx="2">
                  <c:v>1.2000000000000002</c:v>
                </c:pt>
                <c:pt idx="3">
                  <c:v>1.3000000000000003</c:v>
                </c:pt>
                <c:pt idx="4">
                  <c:v>1.4000000000000004</c:v>
                </c:pt>
                <c:pt idx="5">
                  <c:v>1.5000000000000004</c:v>
                </c:pt>
                <c:pt idx="6">
                  <c:v>1.6000000000000005</c:v>
                </c:pt>
              </c:numCache>
            </c:numRef>
          </c:cat>
          <c:val>
            <c:numRef>
              <c:f>Vergütung!$C$62:$I$62</c:f>
              <c:numCache>
                <c:formatCode>0.00%</c:formatCode>
                <c:ptCount val="7"/>
                <c:pt idx="0">
                  <c:v>4.0000000000000008E-2</c:v>
                </c:pt>
                <c:pt idx="1">
                  <c:v>3.4293552812071325E-2</c:v>
                </c:pt>
                <c:pt idx="2">
                  <c:v>2.9726516052318661E-2</c:v>
                </c:pt>
                <c:pt idx="3">
                  <c:v>2.6014568158168563E-2</c:v>
                </c:pt>
                <c:pt idx="4">
                  <c:v>2.2956841138659312E-2</c:v>
                </c:pt>
                <c:pt idx="5">
                  <c:v>2.0408163265306114E-2</c:v>
                </c:pt>
                <c:pt idx="6">
                  <c:v>1.8261504747991222E-2</c:v>
                </c:pt>
              </c:numCache>
            </c:numRef>
          </c:val>
        </c:ser>
        <c:dLbls>
          <c:showLegendKey val="0"/>
          <c:showVal val="0"/>
          <c:showCatName val="0"/>
          <c:showSerName val="0"/>
          <c:showPercent val="0"/>
          <c:showBubbleSize val="0"/>
        </c:dLbls>
        <c:gapWidth val="150"/>
        <c:axId val="1340961792"/>
        <c:axId val="1340877632"/>
      </c:barChart>
      <c:catAx>
        <c:axId val="1340961792"/>
        <c:scaling>
          <c:orientation val="minMax"/>
        </c:scaling>
        <c:delete val="0"/>
        <c:axPos val="b"/>
        <c:title>
          <c:tx>
            <c:rich>
              <a:bodyPr/>
              <a:lstStyle/>
              <a:p>
                <a:pPr>
                  <a:defRPr sz="1175" b="1" i="0" u="none" strike="noStrike" baseline="0">
                    <a:solidFill>
                      <a:srgbClr val="000000"/>
                    </a:solidFill>
                    <a:latin typeface="Arial"/>
                    <a:ea typeface="Arial"/>
                    <a:cs typeface="Arial"/>
                  </a:defRPr>
                </a:pPr>
                <a:r>
                  <a:rPr lang="de-DE"/>
                  <a:t>Ausgangswert n1</a:t>
                </a:r>
              </a:p>
            </c:rich>
          </c:tx>
          <c:layout>
            <c:manualLayout>
              <c:xMode val="edge"/>
              <c:yMode val="edge"/>
              <c:x val="0.42882404951370467"/>
              <c:y val="0.8905760019313130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2700000" vert="horz"/>
          <a:lstStyle/>
          <a:p>
            <a:pPr>
              <a:defRPr sz="1175" b="0" i="0" u="none" strike="noStrike" baseline="0">
                <a:solidFill>
                  <a:srgbClr val="000000"/>
                </a:solidFill>
                <a:latin typeface="Arial"/>
                <a:ea typeface="Arial"/>
                <a:cs typeface="Arial"/>
              </a:defRPr>
            </a:pPr>
            <a:endParaRPr lang="de-DE"/>
          </a:p>
        </c:txPr>
        <c:crossAx val="1340877632"/>
        <c:crosses val="autoZero"/>
        <c:auto val="1"/>
        <c:lblAlgn val="ctr"/>
        <c:lblOffset val="100"/>
        <c:tickLblSkip val="1"/>
        <c:tickMarkSkip val="1"/>
        <c:noMultiLvlLbl val="0"/>
      </c:catAx>
      <c:valAx>
        <c:axId val="1340877632"/>
        <c:scaling>
          <c:orientation val="minMax"/>
          <c:max val="5.000000000000001E-2"/>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de-DE"/>
                  <a:t>Teilreflexion in Prozent</a:t>
                </a:r>
              </a:p>
            </c:rich>
          </c:tx>
          <c:layout>
            <c:manualLayout>
              <c:xMode val="edge"/>
              <c:yMode val="edge"/>
              <c:x val="4.2440318302387266E-2"/>
              <c:y val="0.1826086956521739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de-DE"/>
          </a:p>
        </c:txPr>
        <c:crossAx val="13409617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de-DE"/>
              <a:t>Vergütung-Linsenzahl-Lichtverlust
</a:t>
            </a:r>
          </a:p>
        </c:rich>
      </c:tx>
      <c:layout>
        <c:manualLayout>
          <c:xMode val="edge"/>
          <c:yMode val="edge"/>
          <c:x val="0.23725746707054998"/>
          <c:y val="6.4699248360378311E-2"/>
        </c:manualLayout>
      </c:layout>
      <c:overlay val="0"/>
      <c:spPr>
        <a:noFill/>
        <a:ln w="25400">
          <a:noFill/>
        </a:ln>
      </c:spPr>
    </c:title>
    <c:autoTitleDeleted val="0"/>
    <c:plotArea>
      <c:layout>
        <c:manualLayout>
          <c:layoutTarget val="inner"/>
          <c:xMode val="edge"/>
          <c:yMode val="edge"/>
          <c:x val="0.17762104666817316"/>
          <c:y val="0.22384428223844283"/>
          <c:w val="0.5817496666104387"/>
          <c:h val="0.6082725060827251"/>
        </c:manualLayout>
      </c:layout>
      <c:lineChart>
        <c:grouping val="standard"/>
        <c:varyColors val="0"/>
        <c:ser>
          <c:idx val="0"/>
          <c:order val="0"/>
          <c:tx>
            <c:v>Ohne</c:v>
          </c:tx>
          <c:spPr>
            <a:ln w="12700">
              <a:solidFill>
                <a:srgbClr val="000080"/>
              </a:solidFill>
              <a:prstDash val="solid"/>
            </a:ln>
          </c:spPr>
          <c:marker>
            <c:symbol val="none"/>
          </c:marker>
          <c:val>
            <c:numRef>
              <c:f>Vergütung!$F$439:$M$439</c:f>
              <c:numCache>
                <c:formatCode>0.000%</c:formatCode>
                <c:ptCount val="8"/>
                <c:pt idx="0">
                  <c:v>4.0000000000000008E-2</c:v>
                </c:pt>
                <c:pt idx="1">
                  <c:v>7.8400000000000025E-2</c:v>
                </c:pt>
                <c:pt idx="2">
                  <c:v>0.11526400000000003</c:v>
                </c:pt>
                <c:pt idx="3">
                  <c:v>0.15065344000000003</c:v>
                </c:pt>
                <c:pt idx="4">
                  <c:v>0.18462730240000003</c:v>
                </c:pt>
                <c:pt idx="5">
                  <c:v>0.21724221030400004</c:v>
                </c:pt>
                <c:pt idx="6">
                  <c:v>0.24855252189184007</c:v>
                </c:pt>
                <c:pt idx="7">
                  <c:v>0.27861042101616651</c:v>
                </c:pt>
              </c:numCache>
            </c:numRef>
          </c:val>
          <c:smooth val="0"/>
        </c:ser>
        <c:ser>
          <c:idx val="1"/>
          <c:order val="1"/>
          <c:tx>
            <c:v>einfach</c:v>
          </c:tx>
          <c:spPr>
            <a:ln w="12700">
              <a:solidFill>
                <a:srgbClr val="FF00FF"/>
              </a:solidFill>
              <a:prstDash val="solid"/>
            </a:ln>
          </c:spPr>
          <c:marker>
            <c:symbol val="none"/>
          </c:marker>
          <c:val>
            <c:numRef>
              <c:f>Vergütung!$F$444:$M$444</c:f>
              <c:numCache>
                <c:formatCode>0.000%</c:formatCode>
                <c:ptCount val="8"/>
                <c:pt idx="0">
                  <c:v>2.0508111417202435E-2</c:v>
                </c:pt>
                <c:pt idx="1">
                  <c:v>4.0595640200504324E-2</c:v>
                </c:pt>
                <c:pt idx="2">
                  <c:v>6.0271211705422045E-2</c:v>
                </c:pt>
                <c:pt idx="3">
                  <c:v>7.9543274397719799E-2</c:v>
                </c:pt>
                <c:pt idx="4">
                  <c:v>9.8420103481084542E-2</c:v>
                </c:pt>
                <c:pt idx="5">
                  <c:v>0.11690980445040422</c:v>
                </c:pt>
                <c:pt idx="6">
                  <c:v>0.13502031657217428</c:v>
                </c:pt>
                <c:pt idx="7">
                  <c:v>0.15275941629352852</c:v>
                </c:pt>
              </c:numCache>
            </c:numRef>
          </c:val>
          <c:smooth val="0"/>
        </c:ser>
        <c:ser>
          <c:idx val="2"/>
          <c:order val="2"/>
          <c:tx>
            <c:v>zweifach</c:v>
          </c:tx>
          <c:spPr>
            <a:ln w="12700">
              <a:solidFill>
                <a:srgbClr val="FFFF00"/>
              </a:solidFill>
              <a:prstDash val="solid"/>
            </a:ln>
          </c:spPr>
          <c:marker>
            <c:symbol val="none"/>
          </c:marker>
          <c:val>
            <c:numRef>
              <c:f>Vergütung!$F$450:$M$450</c:f>
              <c:numCache>
                <c:formatCode>0.000%</c:formatCode>
                <c:ptCount val="8"/>
                <c:pt idx="0">
                  <c:v>1.3655863645259059E-2</c:v>
                </c:pt>
                <c:pt idx="1">
                  <c:v>2.7125244678620097E-2</c:v>
                </c:pt>
                <c:pt idx="2">
                  <c:v>4.0410689681203649E-2</c:v>
                </c:pt>
                <c:pt idx="3">
                  <c:v>5.3514710458365311E-2</c:v>
                </c:pt>
                <c:pt idx="4">
                  <c:v>6.6439784514589317E-2</c:v>
                </c:pt>
                <c:pt idx="5">
                  <c:v>7.9188355521896625E-2</c:v>
                </c:pt>
                <c:pt idx="6">
                  <c:v>9.1762833781856457E-2</c:v>
                </c:pt>
                <c:pt idx="7">
                  <c:v>0.104165596681288</c:v>
                </c:pt>
              </c:numCache>
            </c:numRef>
          </c:val>
          <c:smooth val="0"/>
        </c:ser>
        <c:ser>
          <c:idx val="3"/>
          <c:order val="3"/>
          <c:tx>
            <c:v>dreifach</c:v>
          </c:tx>
          <c:spPr>
            <a:ln w="12700">
              <a:solidFill>
                <a:srgbClr val="00FFFF"/>
              </a:solidFill>
              <a:prstDash val="solid"/>
            </a:ln>
          </c:spPr>
          <c:marker>
            <c:symbol val="none"/>
          </c:marker>
          <c:val>
            <c:numRef>
              <c:f>Vergütung!$F$457:$M$457</c:f>
              <c:numCache>
                <c:formatCode>0.000%</c:formatCode>
                <c:ptCount val="8"/>
                <c:pt idx="0">
                  <c:v>1.1831271829754852E-2</c:v>
                </c:pt>
                <c:pt idx="1">
                  <c:v>2.3522564666400236E-2</c:v>
                </c:pt>
                <c:pt idx="2">
                  <c:v>3.5075534639454009E-2</c:v>
                </c:pt>
                <c:pt idx="3">
                  <c:v>4.6491818284315589E-2</c:v>
                </c:pt>
                <c:pt idx="4">
                  <c:v>5.7773032774089295E-2</c:v>
                </c:pt>
                <c:pt idx="5">
                  <c:v>6.8920776148664653E-2</c:v>
                </c:pt>
                <c:pt idx="6">
                  <c:v>7.9936627541087102E-2</c:v>
                </c:pt>
                <c:pt idx="7">
                  <c:v>9.0822147401249498E-2</c:v>
                </c:pt>
              </c:numCache>
            </c:numRef>
          </c:val>
          <c:smooth val="0"/>
        </c:ser>
        <c:dLbls>
          <c:showLegendKey val="0"/>
          <c:showVal val="0"/>
          <c:showCatName val="0"/>
          <c:showSerName val="0"/>
          <c:showPercent val="0"/>
          <c:showBubbleSize val="0"/>
        </c:dLbls>
        <c:marker val="1"/>
        <c:smooth val="0"/>
        <c:axId val="1340964352"/>
        <c:axId val="1340881088"/>
      </c:lineChart>
      <c:catAx>
        <c:axId val="1340964352"/>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de-DE"/>
                  <a:t>Linsenoberflächen</a:t>
                </a:r>
              </a:p>
            </c:rich>
          </c:tx>
          <c:layout>
            <c:manualLayout>
              <c:xMode val="edge"/>
              <c:yMode val="edge"/>
              <c:x val="0.40879478827361565"/>
              <c:y val="0.9057082380831428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40881088"/>
        <c:crosses val="autoZero"/>
        <c:auto val="1"/>
        <c:lblAlgn val="ctr"/>
        <c:lblOffset val="100"/>
        <c:tickLblSkip val="1"/>
        <c:tickMarkSkip val="1"/>
        <c:noMultiLvlLbl val="0"/>
      </c:catAx>
      <c:valAx>
        <c:axId val="1340881088"/>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de-DE"/>
                  <a:t>Lichtintensität</a:t>
                </a:r>
              </a:p>
            </c:rich>
          </c:tx>
          <c:layout>
            <c:manualLayout>
              <c:xMode val="edge"/>
              <c:yMode val="edge"/>
              <c:x val="2.6058631921824105E-2"/>
              <c:y val="0.41439258058003292"/>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40964352"/>
        <c:crosses val="autoZero"/>
        <c:crossBetween val="between"/>
      </c:valAx>
      <c:spPr>
        <a:solidFill>
          <a:srgbClr val="C0C0C0"/>
        </a:solidFill>
        <a:ln w="12700">
          <a:solidFill>
            <a:srgbClr val="808080"/>
          </a:solidFill>
          <a:prstDash val="solid"/>
        </a:ln>
      </c:spPr>
    </c:plotArea>
    <c:legend>
      <c:legendPos val="r"/>
      <c:layout>
        <c:manualLayout>
          <c:xMode val="edge"/>
          <c:yMode val="edge"/>
          <c:x val="0.77524429967426711"/>
          <c:y val="0.41935535973636046"/>
          <c:w val="0.21335504885993484"/>
          <c:h val="0.2084369850790983"/>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0502215657306E-2"/>
          <c:y val="5.7077752831034244E-2"/>
          <c:w val="0.77104874446085669"/>
          <c:h val="0.88812983405089285"/>
        </c:manualLayout>
      </c:layout>
      <c:lineChart>
        <c:grouping val="standard"/>
        <c:varyColors val="0"/>
        <c:ser>
          <c:idx val="0"/>
          <c:order val="0"/>
          <c:tx>
            <c:v>Grün</c:v>
          </c:tx>
          <c:spPr>
            <a:ln w="12700">
              <a:solidFill>
                <a:srgbClr val="00FF00"/>
              </a:solidFill>
              <a:prstDash val="solid"/>
            </a:ln>
          </c:spPr>
          <c:marker>
            <c:symbol val="none"/>
          </c:marker>
          <c:val>
            <c:numRef>
              <c:f>Interferenz!$B$17:$BV$17</c:f>
              <c:numCache>
                <c:formatCode>0.0000</c:formatCode>
                <c:ptCount val="73"/>
                <c:pt idx="0">
                  <c:v>0</c:v>
                </c:pt>
                <c:pt idx="1">
                  <c:v>0.17364817766693033</c:v>
                </c:pt>
                <c:pt idx="2">
                  <c:v>0.34202014332566871</c:v>
                </c:pt>
                <c:pt idx="3">
                  <c:v>0.49999999999999994</c:v>
                </c:pt>
                <c:pt idx="4">
                  <c:v>0.64278760968653925</c:v>
                </c:pt>
                <c:pt idx="5">
                  <c:v>0.76604444311897801</c:v>
                </c:pt>
                <c:pt idx="6">
                  <c:v>0.8660254037844386</c:v>
                </c:pt>
                <c:pt idx="7">
                  <c:v>0.93969262078590832</c:v>
                </c:pt>
                <c:pt idx="8">
                  <c:v>0.98480775301220802</c:v>
                </c:pt>
                <c:pt idx="9">
                  <c:v>1</c:v>
                </c:pt>
                <c:pt idx="10">
                  <c:v>0.98480775301220802</c:v>
                </c:pt>
                <c:pt idx="11">
                  <c:v>0.93969262078590843</c:v>
                </c:pt>
                <c:pt idx="12">
                  <c:v>0.86602540378443871</c:v>
                </c:pt>
                <c:pt idx="13">
                  <c:v>0.76604444311897801</c:v>
                </c:pt>
                <c:pt idx="14">
                  <c:v>0.64278760968653947</c:v>
                </c:pt>
                <c:pt idx="15">
                  <c:v>0.49999999999999994</c:v>
                </c:pt>
                <c:pt idx="16">
                  <c:v>0.34202014332566888</c:v>
                </c:pt>
                <c:pt idx="17">
                  <c:v>0.17364817766693069</c:v>
                </c:pt>
                <c:pt idx="18">
                  <c:v>1.22514845490862E-16</c:v>
                </c:pt>
                <c:pt idx="19">
                  <c:v>-0.17364817766693047</c:v>
                </c:pt>
                <c:pt idx="20">
                  <c:v>-0.34202014332566866</c:v>
                </c:pt>
                <c:pt idx="21">
                  <c:v>-0.50000000000000011</c:v>
                </c:pt>
                <c:pt idx="22">
                  <c:v>-0.64278760968653925</c:v>
                </c:pt>
                <c:pt idx="23">
                  <c:v>-0.7660444431189779</c:v>
                </c:pt>
                <c:pt idx="24">
                  <c:v>-0.86602540378443837</c:v>
                </c:pt>
                <c:pt idx="25">
                  <c:v>-0.93969262078590821</c:v>
                </c:pt>
                <c:pt idx="26">
                  <c:v>-0.98480775301220802</c:v>
                </c:pt>
                <c:pt idx="27">
                  <c:v>-1</c:v>
                </c:pt>
                <c:pt idx="28">
                  <c:v>-0.98480775301220813</c:v>
                </c:pt>
                <c:pt idx="29">
                  <c:v>-0.93969262078590832</c:v>
                </c:pt>
                <c:pt idx="30">
                  <c:v>-0.8660254037844386</c:v>
                </c:pt>
                <c:pt idx="31">
                  <c:v>-0.76604444311897812</c:v>
                </c:pt>
                <c:pt idx="32">
                  <c:v>-0.64278760968653958</c:v>
                </c:pt>
                <c:pt idx="33">
                  <c:v>-0.50000000000000044</c:v>
                </c:pt>
                <c:pt idx="34">
                  <c:v>-0.34202014332566943</c:v>
                </c:pt>
                <c:pt idx="35">
                  <c:v>-0.17364817766693039</c:v>
                </c:pt>
                <c:pt idx="36">
                  <c:v>-2.45029690981724E-16</c:v>
                </c:pt>
                <c:pt idx="37">
                  <c:v>0.17364817766692991</c:v>
                </c:pt>
                <c:pt idx="38">
                  <c:v>0.34202014332566893</c:v>
                </c:pt>
                <c:pt idx="39">
                  <c:v>0.49999999999999928</c:v>
                </c:pt>
                <c:pt idx="40">
                  <c:v>0.64278760968653914</c:v>
                </c:pt>
                <c:pt idx="41">
                  <c:v>0.76604444311897779</c:v>
                </c:pt>
                <c:pt idx="42">
                  <c:v>0.86602540378443882</c:v>
                </c:pt>
                <c:pt idx="43">
                  <c:v>0.93969262078590809</c:v>
                </c:pt>
                <c:pt idx="44">
                  <c:v>0.98480775301220802</c:v>
                </c:pt>
                <c:pt idx="45">
                  <c:v>1</c:v>
                </c:pt>
                <c:pt idx="46">
                  <c:v>0.98480775301220813</c:v>
                </c:pt>
                <c:pt idx="47">
                  <c:v>0.93969262078590865</c:v>
                </c:pt>
                <c:pt idx="48">
                  <c:v>0.86602540378443915</c:v>
                </c:pt>
                <c:pt idx="49">
                  <c:v>0.76604444311897757</c:v>
                </c:pt>
                <c:pt idx="50">
                  <c:v>0.64278760968654036</c:v>
                </c:pt>
                <c:pt idx="51">
                  <c:v>0.49999999999999978</c:v>
                </c:pt>
                <c:pt idx="52">
                  <c:v>0.34202014332566871</c:v>
                </c:pt>
                <c:pt idx="53">
                  <c:v>0.1736481776669305</c:v>
                </c:pt>
                <c:pt idx="54">
                  <c:v>3.67544536472586E-16</c:v>
                </c:pt>
                <c:pt idx="55">
                  <c:v>-0.17364817766692978</c:v>
                </c:pt>
                <c:pt idx="56">
                  <c:v>-0.34202014332566799</c:v>
                </c:pt>
                <c:pt idx="57">
                  <c:v>-0.49999999999999917</c:v>
                </c:pt>
                <c:pt idx="58">
                  <c:v>-0.64278760968653981</c:v>
                </c:pt>
                <c:pt idx="59">
                  <c:v>-0.76604444311897713</c:v>
                </c:pt>
                <c:pt idx="60">
                  <c:v>-0.86602540378443871</c:v>
                </c:pt>
                <c:pt idx="61">
                  <c:v>-0.93969262078590843</c:v>
                </c:pt>
                <c:pt idx="62">
                  <c:v>-0.98480775301220802</c:v>
                </c:pt>
                <c:pt idx="63">
                  <c:v>-1</c:v>
                </c:pt>
                <c:pt idx="64">
                  <c:v>-0.98480775301220813</c:v>
                </c:pt>
                <c:pt idx="65">
                  <c:v>-0.93969262078590865</c:v>
                </c:pt>
                <c:pt idx="66">
                  <c:v>-0.86602540378443915</c:v>
                </c:pt>
                <c:pt idx="67">
                  <c:v>-0.76604444311897768</c:v>
                </c:pt>
                <c:pt idx="68">
                  <c:v>-0.64278760968654047</c:v>
                </c:pt>
                <c:pt idx="69">
                  <c:v>-0.49999999999999989</c:v>
                </c:pt>
                <c:pt idx="70">
                  <c:v>-0.34202014332566882</c:v>
                </c:pt>
                <c:pt idx="71">
                  <c:v>-0.17364817766693064</c:v>
                </c:pt>
                <c:pt idx="72">
                  <c:v>-4.90059381963448E-16</c:v>
                </c:pt>
              </c:numCache>
            </c:numRef>
          </c:val>
          <c:smooth val="0"/>
        </c:ser>
        <c:ser>
          <c:idx val="1"/>
          <c:order val="1"/>
          <c:tx>
            <c:v>Blau</c:v>
          </c:tx>
          <c:spPr>
            <a:ln w="12700">
              <a:solidFill>
                <a:srgbClr val="0000FF"/>
              </a:solidFill>
              <a:prstDash val="solid"/>
            </a:ln>
          </c:spPr>
          <c:marker>
            <c:symbol val="none"/>
          </c:marker>
          <c:val>
            <c:numRef>
              <c:f>Interferenz!$B$21:$BV$21</c:f>
              <c:numCache>
                <c:formatCode>0.0000</c:formatCode>
                <c:ptCount val="73"/>
                <c:pt idx="0">
                  <c:v>0.49999999999999994</c:v>
                </c:pt>
                <c:pt idx="1">
                  <c:v>0.34202014332566888</c:v>
                </c:pt>
                <c:pt idx="2">
                  <c:v>0.17364817766693028</c:v>
                </c:pt>
                <c:pt idx="3">
                  <c:v>1.22514845490862E-16</c:v>
                </c:pt>
                <c:pt idx="4">
                  <c:v>-0.17364817766693047</c:v>
                </c:pt>
                <c:pt idx="5">
                  <c:v>-0.34202014332566866</c:v>
                </c:pt>
                <c:pt idx="6">
                  <c:v>-0.50000000000000011</c:v>
                </c:pt>
                <c:pt idx="7">
                  <c:v>-0.64278760968653925</c:v>
                </c:pt>
                <c:pt idx="8">
                  <c:v>-0.7660444431189779</c:v>
                </c:pt>
                <c:pt idx="9">
                  <c:v>-0.86602540378443837</c:v>
                </c:pt>
                <c:pt idx="10">
                  <c:v>-0.93969262078590821</c:v>
                </c:pt>
                <c:pt idx="11">
                  <c:v>-0.98480775301220802</c:v>
                </c:pt>
                <c:pt idx="12">
                  <c:v>-1</c:v>
                </c:pt>
                <c:pt idx="13">
                  <c:v>-0.98480775301220813</c:v>
                </c:pt>
                <c:pt idx="14">
                  <c:v>-0.93969262078590854</c:v>
                </c:pt>
                <c:pt idx="15">
                  <c:v>-0.8660254037844386</c:v>
                </c:pt>
                <c:pt idx="16">
                  <c:v>-0.76604444311897812</c:v>
                </c:pt>
                <c:pt idx="17">
                  <c:v>-0.64278760968653958</c:v>
                </c:pt>
                <c:pt idx="18">
                  <c:v>-0.50000000000000044</c:v>
                </c:pt>
                <c:pt idx="19">
                  <c:v>-0.3420201433256686</c:v>
                </c:pt>
                <c:pt idx="20">
                  <c:v>-0.17364817766693127</c:v>
                </c:pt>
                <c:pt idx="21">
                  <c:v>-2.45029690981724E-16</c:v>
                </c:pt>
                <c:pt idx="22">
                  <c:v>0.17364817766692991</c:v>
                </c:pt>
                <c:pt idx="23">
                  <c:v>0.34202014332566893</c:v>
                </c:pt>
                <c:pt idx="24">
                  <c:v>0.49999999999999928</c:v>
                </c:pt>
                <c:pt idx="25">
                  <c:v>0.64278760968653914</c:v>
                </c:pt>
                <c:pt idx="26">
                  <c:v>0.76604444311897779</c:v>
                </c:pt>
                <c:pt idx="27">
                  <c:v>0.86602540378443882</c:v>
                </c:pt>
                <c:pt idx="28">
                  <c:v>0.93969262078590809</c:v>
                </c:pt>
                <c:pt idx="29">
                  <c:v>0.98480775301220802</c:v>
                </c:pt>
                <c:pt idx="30">
                  <c:v>1</c:v>
                </c:pt>
                <c:pt idx="31">
                  <c:v>0.98480775301220813</c:v>
                </c:pt>
                <c:pt idx="32">
                  <c:v>0.93969262078590865</c:v>
                </c:pt>
                <c:pt idx="33">
                  <c:v>0.86602540378443915</c:v>
                </c:pt>
                <c:pt idx="34">
                  <c:v>0.76604444311897879</c:v>
                </c:pt>
                <c:pt idx="35">
                  <c:v>0.64278760968654036</c:v>
                </c:pt>
                <c:pt idx="36">
                  <c:v>0.49999999999999978</c:v>
                </c:pt>
                <c:pt idx="37">
                  <c:v>0.34202014332566871</c:v>
                </c:pt>
                <c:pt idx="38">
                  <c:v>0.1736481776669305</c:v>
                </c:pt>
                <c:pt idx="39">
                  <c:v>3.67544536472586E-16</c:v>
                </c:pt>
                <c:pt idx="40">
                  <c:v>-0.17364817766692978</c:v>
                </c:pt>
                <c:pt idx="41">
                  <c:v>-0.34202014332566799</c:v>
                </c:pt>
                <c:pt idx="42">
                  <c:v>-0.50000000000000067</c:v>
                </c:pt>
                <c:pt idx="43">
                  <c:v>-0.64278760968653836</c:v>
                </c:pt>
                <c:pt idx="44">
                  <c:v>-0.76604444311897824</c:v>
                </c:pt>
                <c:pt idx="45">
                  <c:v>-0.86602540378443871</c:v>
                </c:pt>
                <c:pt idx="46">
                  <c:v>-0.93969262078590843</c:v>
                </c:pt>
                <c:pt idx="47">
                  <c:v>-0.98480775301220802</c:v>
                </c:pt>
                <c:pt idx="48">
                  <c:v>-1</c:v>
                </c:pt>
                <c:pt idx="49">
                  <c:v>-0.98480775301220813</c:v>
                </c:pt>
                <c:pt idx="50">
                  <c:v>-0.93969262078590865</c:v>
                </c:pt>
                <c:pt idx="51">
                  <c:v>-0.86602540378443915</c:v>
                </c:pt>
                <c:pt idx="52">
                  <c:v>-0.76604444311897879</c:v>
                </c:pt>
                <c:pt idx="53">
                  <c:v>-0.64278760968653903</c:v>
                </c:pt>
                <c:pt idx="54">
                  <c:v>-0.49999999999999989</c:v>
                </c:pt>
                <c:pt idx="55">
                  <c:v>-0.34202014332567049</c:v>
                </c:pt>
                <c:pt idx="56">
                  <c:v>-0.17364817766693064</c:v>
                </c:pt>
                <c:pt idx="57">
                  <c:v>-4.90059381963448E-16</c:v>
                </c:pt>
                <c:pt idx="58">
                  <c:v>0.17364817766693141</c:v>
                </c:pt>
                <c:pt idx="59">
                  <c:v>0.34202014332566788</c:v>
                </c:pt>
                <c:pt idx="60">
                  <c:v>0.49999999999999906</c:v>
                </c:pt>
                <c:pt idx="61">
                  <c:v>0.6427876096865397</c:v>
                </c:pt>
                <c:pt idx="62">
                  <c:v>0.76604444311897824</c:v>
                </c:pt>
                <c:pt idx="63">
                  <c:v>0.86602540378443782</c:v>
                </c:pt>
                <c:pt idx="64">
                  <c:v>0.93969262078590832</c:v>
                </c:pt>
                <c:pt idx="65">
                  <c:v>0.98480775301220802</c:v>
                </c:pt>
                <c:pt idx="66">
                  <c:v>1</c:v>
                </c:pt>
                <c:pt idx="67">
                  <c:v>0.98480775301220824</c:v>
                </c:pt>
                <c:pt idx="68">
                  <c:v>0.93969262078590876</c:v>
                </c:pt>
                <c:pt idx="69">
                  <c:v>0.86602540378443837</c:v>
                </c:pt>
                <c:pt idx="70">
                  <c:v>0.7660444431189789</c:v>
                </c:pt>
                <c:pt idx="71">
                  <c:v>0.64278760968654058</c:v>
                </c:pt>
                <c:pt idx="72">
                  <c:v>0.5</c:v>
                </c:pt>
              </c:numCache>
            </c:numRef>
          </c:val>
          <c:smooth val="0"/>
        </c:ser>
        <c:ser>
          <c:idx val="2"/>
          <c:order val="2"/>
          <c:tx>
            <c:v>Summe</c:v>
          </c:tx>
          <c:spPr>
            <a:ln w="12700">
              <a:solidFill>
                <a:srgbClr val="FF0000"/>
              </a:solidFill>
              <a:prstDash val="solid"/>
            </a:ln>
          </c:spPr>
          <c:marker>
            <c:symbol val="none"/>
          </c:marker>
          <c:val>
            <c:numRef>
              <c:f>Interferenz!$B$25:$BV$25</c:f>
              <c:numCache>
                <c:formatCode>General</c:formatCode>
                <c:ptCount val="73"/>
                <c:pt idx="0">
                  <c:v>0.49999999999999994</c:v>
                </c:pt>
                <c:pt idx="1">
                  <c:v>0.51566832099259918</c:v>
                </c:pt>
                <c:pt idx="2">
                  <c:v>0.51566832099259896</c:v>
                </c:pt>
                <c:pt idx="3">
                  <c:v>0.50000000000000011</c:v>
                </c:pt>
                <c:pt idx="4">
                  <c:v>0.46913943201960878</c:v>
                </c:pt>
                <c:pt idx="5">
                  <c:v>0.42402429979330936</c:v>
                </c:pt>
                <c:pt idx="6" formatCode="0.0000">
                  <c:v>0.36602540378443849</c:v>
                </c:pt>
                <c:pt idx="7">
                  <c:v>0.29690501109936906</c:v>
                </c:pt>
                <c:pt idx="8">
                  <c:v>0.21876330989323012</c:v>
                </c:pt>
                <c:pt idx="9">
                  <c:v>0.13397459621556163</c:v>
                </c:pt>
                <c:pt idx="10">
                  <c:v>4.5115132226299814E-2</c:v>
                </c:pt>
                <c:pt idx="11">
                  <c:v>-4.5115132226299592E-2</c:v>
                </c:pt>
                <c:pt idx="12">
                  <c:v>-0.13397459621556129</c:v>
                </c:pt>
                <c:pt idx="13">
                  <c:v>-0.21876330989323012</c:v>
                </c:pt>
                <c:pt idx="14">
                  <c:v>-0.29690501109936906</c:v>
                </c:pt>
                <c:pt idx="15">
                  <c:v>-0.36602540378443865</c:v>
                </c:pt>
                <c:pt idx="16">
                  <c:v>-0.42402429979330925</c:v>
                </c:pt>
                <c:pt idx="17">
                  <c:v>-0.46913943201960889</c:v>
                </c:pt>
                <c:pt idx="18">
                  <c:v>-0.50000000000000033</c:v>
                </c:pt>
                <c:pt idx="19">
                  <c:v>-0.51566832099259907</c:v>
                </c:pt>
                <c:pt idx="20">
                  <c:v>-0.51566832099259996</c:v>
                </c:pt>
                <c:pt idx="21">
                  <c:v>-0.50000000000000033</c:v>
                </c:pt>
                <c:pt idx="22">
                  <c:v>-0.46913943201960934</c:v>
                </c:pt>
                <c:pt idx="23">
                  <c:v>-0.42402429979330897</c:v>
                </c:pt>
                <c:pt idx="24">
                  <c:v>-0.3660254037844391</c:v>
                </c:pt>
                <c:pt idx="25">
                  <c:v>-0.29690501109936906</c:v>
                </c:pt>
                <c:pt idx="26">
                  <c:v>-0.21876330989323023</c:v>
                </c:pt>
                <c:pt idx="27">
                  <c:v>-0.13397459621556118</c:v>
                </c:pt>
                <c:pt idx="28">
                  <c:v>-4.5115132226300036E-2</c:v>
                </c:pt>
                <c:pt idx="29">
                  <c:v>4.5115132226299703E-2</c:v>
                </c:pt>
                <c:pt idx="30">
                  <c:v>0.1339745962155614</c:v>
                </c:pt>
                <c:pt idx="31">
                  <c:v>0.21876330989323001</c:v>
                </c:pt>
                <c:pt idx="32">
                  <c:v>0.29690501109936906</c:v>
                </c:pt>
                <c:pt idx="33">
                  <c:v>0.36602540378443871</c:v>
                </c:pt>
                <c:pt idx="34">
                  <c:v>0.42402429979330936</c:v>
                </c:pt>
                <c:pt idx="35">
                  <c:v>0.46913943201960995</c:v>
                </c:pt>
                <c:pt idx="36">
                  <c:v>0.49999999999999956</c:v>
                </c:pt>
                <c:pt idx="37">
                  <c:v>0.51566832099259863</c:v>
                </c:pt>
                <c:pt idx="38">
                  <c:v>0.5156683209925994</c:v>
                </c:pt>
                <c:pt idx="39">
                  <c:v>0.49999999999999967</c:v>
                </c:pt>
                <c:pt idx="40">
                  <c:v>0.46913943201960939</c:v>
                </c:pt>
                <c:pt idx="41">
                  <c:v>0.4240242997933098</c:v>
                </c:pt>
                <c:pt idx="42">
                  <c:v>0.36602540378443815</c:v>
                </c:pt>
                <c:pt idx="43">
                  <c:v>0.29690501109936973</c:v>
                </c:pt>
                <c:pt idx="44">
                  <c:v>0.21876330989322978</c:v>
                </c:pt>
                <c:pt idx="45">
                  <c:v>0.13397459621556129</c:v>
                </c:pt>
                <c:pt idx="46">
                  <c:v>4.5115132226299703E-2</c:v>
                </c:pt>
                <c:pt idx="47">
                  <c:v>-4.511513222629937E-2</c:v>
                </c:pt>
                <c:pt idx="48">
                  <c:v>-0.13397459621556085</c:v>
                </c:pt>
                <c:pt idx="49">
                  <c:v>-0.21876330989323056</c:v>
                </c:pt>
                <c:pt idx="50">
                  <c:v>-0.29690501109936829</c:v>
                </c:pt>
                <c:pt idx="51">
                  <c:v>-0.36602540378443937</c:v>
                </c:pt>
                <c:pt idx="52">
                  <c:v>-0.42402429979331008</c:v>
                </c:pt>
                <c:pt idx="53">
                  <c:v>-0.4691394320196085</c:v>
                </c:pt>
                <c:pt idx="54">
                  <c:v>-0.4999999999999995</c:v>
                </c:pt>
                <c:pt idx="55">
                  <c:v>-0.51566832099260029</c:v>
                </c:pt>
                <c:pt idx="56">
                  <c:v>-0.51566832099259863</c:v>
                </c:pt>
                <c:pt idx="57">
                  <c:v>-0.49999999999999967</c:v>
                </c:pt>
                <c:pt idx="58">
                  <c:v>-0.46913943201960839</c:v>
                </c:pt>
                <c:pt idx="59">
                  <c:v>-0.42402429979330925</c:v>
                </c:pt>
                <c:pt idx="60">
                  <c:v>-0.36602540378443965</c:v>
                </c:pt>
                <c:pt idx="61">
                  <c:v>-0.29690501109936873</c:v>
                </c:pt>
                <c:pt idx="62">
                  <c:v>-0.21876330989322978</c:v>
                </c:pt>
                <c:pt idx="63">
                  <c:v>-0.13397459621556218</c:v>
                </c:pt>
                <c:pt idx="64">
                  <c:v>-4.5115132226299814E-2</c:v>
                </c:pt>
                <c:pt idx="65">
                  <c:v>4.511513222629937E-2</c:v>
                </c:pt>
                <c:pt idx="66">
                  <c:v>0.13397459621556085</c:v>
                </c:pt>
                <c:pt idx="67">
                  <c:v>0.21876330989323056</c:v>
                </c:pt>
                <c:pt idx="68">
                  <c:v>0.29690501109936829</c:v>
                </c:pt>
                <c:pt idx="69">
                  <c:v>0.36602540378443849</c:v>
                </c:pt>
                <c:pt idx="70">
                  <c:v>0.42402429979331008</c:v>
                </c:pt>
                <c:pt idx="71">
                  <c:v>0.46913943201960995</c:v>
                </c:pt>
                <c:pt idx="72">
                  <c:v>0.4999999999999995</c:v>
                </c:pt>
              </c:numCache>
            </c:numRef>
          </c:val>
          <c:smooth val="0"/>
        </c:ser>
        <c:ser>
          <c:idx val="3"/>
          <c:order val="3"/>
          <c:tx>
            <c:v>Wirkung</c:v>
          </c:tx>
          <c:spPr>
            <a:ln w="12700">
              <a:solidFill>
                <a:srgbClr val="00FFFF"/>
              </a:solidFill>
              <a:prstDash val="solid"/>
            </a:ln>
          </c:spPr>
          <c:marker>
            <c:symbol val="none"/>
          </c:marker>
          <c:val>
            <c:numRef>
              <c:f>Interferenz!$B$28:$BV$28</c:f>
              <c:numCache>
                <c:formatCode>General</c:formatCode>
                <c:ptCount val="73"/>
                <c:pt idx="0">
                  <c:v>0.24999999999999994</c:v>
                </c:pt>
                <c:pt idx="1">
                  <c:v>0.26591381727532631</c:v>
                </c:pt>
                <c:pt idx="2">
                  <c:v>0.26591381727532609</c:v>
                </c:pt>
                <c:pt idx="3">
                  <c:v>0.25000000000000011</c:v>
                </c:pt>
                <c:pt idx="4">
                  <c:v>0.22009180667568112</c:v>
                </c:pt>
                <c:pt idx="5">
                  <c:v>0.17979660681520629</c:v>
                </c:pt>
                <c:pt idx="6" formatCode="0.0000">
                  <c:v>0.13397459621556124</c:v>
                </c:pt>
                <c:pt idx="7">
                  <c:v>8.8152585615916462E-2</c:v>
                </c:pt>
                <c:pt idx="8">
                  <c:v>4.7857385755441434E-2</c:v>
                </c:pt>
                <c:pt idx="9">
                  <c:v>1.7949192431122779E-2</c:v>
                </c:pt>
                <c:pt idx="10">
                  <c:v>2.0353751557965162E-3</c:v>
                </c:pt>
                <c:pt idx="11">
                  <c:v>2.0353751557964962E-3</c:v>
                </c:pt>
                <c:pt idx="12">
                  <c:v>1.7949192431122689E-2</c:v>
                </c:pt>
                <c:pt idx="13">
                  <c:v>4.7857385755441434E-2</c:v>
                </c:pt>
                <c:pt idx="14">
                  <c:v>8.8152585615916462E-2</c:v>
                </c:pt>
                <c:pt idx="15">
                  <c:v>0.13397459621556135</c:v>
                </c:pt>
                <c:pt idx="16">
                  <c:v>0.17979660681520621</c:v>
                </c:pt>
                <c:pt idx="17">
                  <c:v>0.22009180667568123</c:v>
                </c:pt>
                <c:pt idx="18">
                  <c:v>0.25000000000000033</c:v>
                </c:pt>
                <c:pt idx="19">
                  <c:v>0.2659138172753262</c:v>
                </c:pt>
                <c:pt idx="20">
                  <c:v>0.26591381727532709</c:v>
                </c:pt>
                <c:pt idx="21">
                  <c:v>0.25000000000000033</c:v>
                </c:pt>
                <c:pt idx="22">
                  <c:v>0.22009180667568165</c:v>
                </c:pt>
                <c:pt idx="23">
                  <c:v>0.17979660681520596</c:v>
                </c:pt>
                <c:pt idx="24">
                  <c:v>0.13397459621556168</c:v>
                </c:pt>
                <c:pt idx="25">
                  <c:v>8.8152585615916462E-2</c:v>
                </c:pt>
                <c:pt idx="26">
                  <c:v>4.7857385755441482E-2</c:v>
                </c:pt>
                <c:pt idx="27">
                  <c:v>1.7949192431122661E-2</c:v>
                </c:pt>
                <c:pt idx="28">
                  <c:v>2.0353751557965361E-3</c:v>
                </c:pt>
                <c:pt idx="29">
                  <c:v>2.0353751557965062E-3</c:v>
                </c:pt>
                <c:pt idx="30">
                  <c:v>1.794919243112272E-2</c:v>
                </c:pt>
                <c:pt idx="31">
                  <c:v>4.7857385755441385E-2</c:v>
                </c:pt>
                <c:pt idx="32">
                  <c:v>8.8152585615916462E-2</c:v>
                </c:pt>
                <c:pt idx="33">
                  <c:v>0.1339745962155614</c:v>
                </c:pt>
                <c:pt idx="34">
                  <c:v>0.17979660681520629</c:v>
                </c:pt>
                <c:pt idx="35">
                  <c:v>0.22009180667568223</c:v>
                </c:pt>
                <c:pt idx="36">
                  <c:v>0.24999999999999956</c:v>
                </c:pt>
                <c:pt idx="37">
                  <c:v>0.26591381727532576</c:v>
                </c:pt>
                <c:pt idx="38">
                  <c:v>0.26591381727532654</c:v>
                </c:pt>
                <c:pt idx="39">
                  <c:v>0.24999999999999967</c:v>
                </c:pt>
                <c:pt idx="40">
                  <c:v>0.22009180667568171</c:v>
                </c:pt>
                <c:pt idx="41">
                  <c:v>0.17979660681520668</c:v>
                </c:pt>
                <c:pt idx="42">
                  <c:v>0.13397459621556099</c:v>
                </c:pt>
                <c:pt idx="43">
                  <c:v>8.8152585615916865E-2</c:v>
                </c:pt>
                <c:pt idx="44">
                  <c:v>4.7857385755441288E-2</c:v>
                </c:pt>
                <c:pt idx="45">
                  <c:v>1.7949192431122689E-2</c:v>
                </c:pt>
                <c:pt idx="46">
                  <c:v>2.0353751557965062E-3</c:v>
                </c:pt>
                <c:pt idx="47">
                  <c:v>2.0353751557964758E-3</c:v>
                </c:pt>
                <c:pt idx="48">
                  <c:v>1.7949192431122571E-2</c:v>
                </c:pt>
                <c:pt idx="49">
                  <c:v>4.7857385755441628E-2</c:v>
                </c:pt>
                <c:pt idx="50">
                  <c:v>8.8152585615916004E-2</c:v>
                </c:pt>
                <c:pt idx="51">
                  <c:v>0.13397459621556188</c:v>
                </c:pt>
                <c:pt idx="52">
                  <c:v>0.1797966068152069</c:v>
                </c:pt>
                <c:pt idx="53">
                  <c:v>0.22009180667568087</c:v>
                </c:pt>
                <c:pt idx="54">
                  <c:v>0.2499999999999995</c:v>
                </c:pt>
                <c:pt idx="55">
                  <c:v>0.26591381727532748</c:v>
                </c:pt>
                <c:pt idx="56">
                  <c:v>0.26591381727532576</c:v>
                </c:pt>
                <c:pt idx="57">
                  <c:v>0.24999999999999967</c:v>
                </c:pt>
                <c:pt idx="58">
                  <c:v>0.22009180667568076</c:v>
                </c:pt>
                <c:pt idx="59">
                  <c:v>0.17979660681520621</c:v>
                </c:pt>
                <c:pt idx="60">
                  <c:v>0.1339745962155621</c:v>
                </c:pt>
                <c:pt idx="61">
                  <c:v>8.8152585615916268E-2</c:v>
                </c:pt>
                <c:pt idx="62">
                  <c:v>4.7857385755441288E-2</c:v>
                </c:pt>
                <c:pt idx="63">
                  <c:v>1.7949192431122928E-2</c:v>
                </c:pt>
                <c:pt idx="64">
                  <c:v>2.0353751557965162E-3</c:v>
                </c:pt>
                <c:pt idx="65">
                  <c:v>2.0353751557964758E-3</c:v>
                </c:pt>
                <c:pt idx="66">
                  <c:v>1.7949192431122571E-2</c:v>
                </c:pt>
                <c:pt idx="67">
                  <c:v>4.7857385755441628E-2</c:v>
                </c:pt>
                <c:pt idx="68">
                  <c:v>8.8152585615916004E-2</c:v>
                </c:pt>
                <c:pt idx="69">
                  <c:v>0.13397459621556124</c:v>
                </c:pt>
                <c:pt idx="70">
                  <c:v>0.1797966068152069</c:v>
                </c:pt>
                <c:pt idx="71">
                  <c:v>0.22009180667568223</c:v>
                </c:pt>
                <c:pt idx="72">
                  <c:v>0.2499999999999995</c:v>
                </c:pt>
              </c:numCache>
            </c:numRef>
          </c:val>
          <c:smooth val="0"/>
        </c:ser>
        <c:dLbls>
          <c:showLegendKey val="0"/>
          <c:showVal val="0"/>
          <c:showCatName val="0"/>
          <c:showSerName val="0"/>
          <c:showPercent val="0"/>
          <c:showBubbleSize val="0"/>
        </c:dLbls>
        <c:marker val="1"/>
        <c:smooth val="0"/>
        <c:axId val="1348474880"/>
        <c:axId val="177799744"/>
      </c:lineChart>
      <c:catAx>
        <c:axId val="1348474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77799744"/>
        <c:crosses val="autoZero"/>
        <c:auto val="1"/>
        <c:lblAlgn val="ctr"/>
        <c:lblOffset val="100"/>
        <c:tickLblSkip val="3"/>
        <c:tickMarkSkip val="1"/>
        <c:noMultiLvlLbl val="0"/>
      </c:catAx>
      <c:valAx>
        <c:axId val="177799744"/>
        <c:scaling>
          <c:orientation val="minMax"/>
        </c:scaling>
        <c:delete val="0"/>
        <c:axPos val="l"/>
        <c:majorGridlines>
          <c:spPr>
            <a:ln w="3175">
              <a:solidFill>
                <a:srgbClr val="000000"/>
              </a:solidFill>
              <a:prstDash val="solid"/>
            </a:ln>
          </c:spPr>
        </c:majorGridlines>
        <c:numFmt formatCode="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48474880"/>
        <c:crosses val="autoZero"/>
        <c:crossBetween val="between"/>
      </c:valAx>
      <c:spPr>
        <a:solidFill>
          <a:srgbClr val="C0C0C0"/>
        </a:solidFill>
        <a:ln w="12700">
          <a:solidFill>
            <a:srgbClr val="808080"/>
          </a:solidFill>
          <a:prstDash val="solid"/>
        </a:ln>
      </c:spPr>
    </c:plotArea>
    <c:legend>
      <c:legendPos val="r"/>
      <c:layout>
        <c:manualLayout>
          <c:xMode val="edge"/>
          <c:yMode val="edge"/>
          <c:x val="0.87887740029542094"/>
          <c:y val="0.4132420091324201"/>
          <c:w val="0.1107828655834564"/>
          <c:h val="0.17579908675799089"/>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de-DE"/>
              <a:t>Zusammenhang Lichtintensität und Belichtungsstufen</a:t>
            </a:r>
          </a:p>
        </c:rich>
      </c:tx>
      <c:layout>
        <c:manualLayout>
          <c:xMode val="edge"/>
          <c:yMode val="edge"/>
          <c:x val="0.30526315789473685"/>
          <c:y val="2.8169014084507043E-2"/>
        </c:manualLayout>
      </c:layout>
      <c:overlay val="0"/>
      <c:spPr>
        <a:noFill/>
        <a:ln w="25400">
          <a:noFill/>
        </a:ln>
      </c:spPr>
    </c:title>
    <c:autoTitleDeleted val="0"/>
    <c:plotArea>
      <c:layout>
        <c:manualLayout>
          <c:layoutTarget val="inner"/>
          <c:xMode val="edge"/>
          <c:yMode val="edge"/>
          <c:x val="0.11127819548872181"/>
          <c:y val="0.17214423804320417"/>
          <c:w val="0.84812030075187972"/>
          <c:h val="0.79029854738016458"/>
        </c:manualLayout>
      </c:layout>
      <c:lineChart>
        <c:grouping val="standard"/>
        <c:varyColors val="0"/>
        <c:ser>
          <c:idx val="0"/>
          <c:order val="0"/>
          <c:tx>
            <c:v>Intensität-Stufen</c:v>
          </c:tx>
          <c:spPr>
            <a:ln w="12700">
              <a:solidFill>
                <a:srgbClr val="000080"/>
              </a:solidFill>
              <a:prstDash val="solid"/>
            </a:ln>
          </c:spPr>
          <c:marker>
            <c:symbol val="none"/>
          </c:marker>
          <c:cat>
            <c:numRef>
              <c:f>'Belichtung-Bildweite'!$C$14:$Q$14</c:f>
              <c:numCache>
                <c:formatCode>0%</c:formatCode>
                <c:ptCount val="15"/>
                <c:pt idx="0">
                  <c:v>0.96460459183673497</c:v>
                </c:pt>
                <c:pt idx="1">
                  <c:v>0.95585538903061229</c:v>
                </c:pt>
                <c:pt idx="2">
                  <c:v>0.94497493821747436</c:v>
                </c:pt>
                <c:pt idx="3">
                  <c:v>0.93146195703623247</c:v>
                </c:pt>
                <c:pt idx="4">
                  <c:v>0.91470757795839863</c:v>
                </c:pt>
                <c:pt idx="5">
                  <c:v>0.89397842817160567</c:v>
                </c:pt>
                <c:pt idx="6">
                  <c:v>0.86840109103264229</c:v>
                </c:pt>
                <c:pt idx="7">
                  <c:v>0.83695145100664003</c:v>
                </c:pt>
                <c:pt idx="8">
                  <c:v>0.79845507503304547</c:v>
                </c:pt>
                <c:pt idx="9">
                  <c:v>0.75160909578309576</c:v>
                </c:pt>
                <c:pt idx="10">
                  <c:v>0.69504301346604092</c:v>
                </c:pt>
                <c:pt idx="11">
                  <c:v>0.62744696017188073</c:v>
                </c:pt>
                <c:pt idx="12">
                  <c:v>0.54781368980755352</c:v>
                </c:pt>
                <c:pt idx="13">
                  <c:v>0.45586865849803959</c:v>
                </c:pt>
                <c:pt idx="14">
                  <c:v>0.35280698912035813</c:v>
                </c:pt>
              </c:numCache>
            </c:numRef>
          </c:cat>
          <c:val>
            <c:numRef>
              <c:f>'Belichtung-Bildweite'!$C$13:$Q$13</c:f>
              <c:numCache>
                <c:formatCode>0.000</c:formatCode>
                <c:ptCount val="15"/>
                <c:pt idx="0">
                  <c:v>5.1990417065888583E-2</c:v>
                </c:pt>
                <c:pt idx="1">
                  <c:v>6.5135724912861237E-2</c:v>
                </c:pt>
                <c:pt idx="2">
                  <c:v>8.1652026917479165E-2</c:v>
                </c:pt>
                <c:pt idx="3">
                  <c:v>0.10243124736935218</c:v>
                </c:pt>
                <c:pt idx="4">
                  <c:v>0.12861749166186473</c:v>
                </c:pt>
                <c:pt idx="5">
                  <c:v>0.16168807549815228</c:v>
                </c:pt>
                <c:pt idx="6">
                  <c:v>0.203566556375123</c:v>
                </c:pt>
                <c:pt idx="7">
                  <c:v>0.25678415601062599</c:v>
                </c:pt>
                <c:pt idx="8">
                  <c:v>0.32471685800896505</c:v>
                </c:pt>
                <c:pt idx="9">
                  <c:v>0.41194556889341361</c:v>
                </c:pt>
                <c:pt idx="10">
                  <c:v>0.52482583159232532</c:v>
                </c:pt>
                <c:pt idx="11">
                  <c:v>0.67243458567437875</c:v>
                </c:pt>
                <c:pt idx="12">
                  <c:v>0.86824277559345386</c:v>
                </c:pt>
                <c:pt idx="13">
                  <c:v>1.1333098692419357</c:v>
                </c:pt>
                <c:pt idx="14">
                  <c:v>1.5030489538632263</c:v>
                </c:pt>
              </c:numCache>
            </c:numRef>
          </c:val>
          <c:smooth val="0"/>
        </c:ser>
        <c:dLbls>
          <c:showLegendKey val="0"/>
          <c:showVal val="0"/>
          <c:showCatName val="0"/>
          <c:showSerName val="0"/>
          <c:showPercent val="0"/>
          <c:showBubbleSize val="0"/>
        </c:dLbls>
        <c:marker val="1"/>
        <c:smooth val="0"/>
        <c:axId val="1404712960"/>
        <c:axId val="177806080"/>
      </c:lineChart>
      <c:catAx>
        <c:axId val="1404712960"/>
        <c:scaling>
          <c:orientation val="minMax"/>
        </c:scaling>
        <c:delete val="0"/>
        <c:axPos val="t"/>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a:t>Lichtintensität</a:t>
                </a:r>
              </a:p>
            </c:rich>
          </c:tx>
          <c:layout>
            <c:manualLayout>
              <c:xMode val="edge"/>
              <c:yMode val="edge"/>
              <c:x val="0.47368421052631576"/>
              <c:y val="9.7026768367569072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77806080"/>
        <c:crosses val="autoZero"/>
        <c:auto val="1"/>
        <c:lblAlgn val="ctr"/>
        <c:lblOffset val="100"/>
        <c:tickLblSkip val="1"/>
        <c:tickMarkSkip val="1"/>
        <c:noMultiLvlLbl val="0"/>
      </c:catAx>
      <c:valAx>
        <c:axId val="177806080"/>
        <c:scaling>
          <c:orientation val="maxMin"/>
          <c:max val="2.15"/>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a:t>Belichtungsstufen</a:t>
                </a:r>
              </a:p>
            </c:rich>
          </c:tx>
          <c:layout>
            <c:manualLayout>
              <c:xMode val="edge"/>
              <c:yMode val="edge"/>
              <c:x val="2.4060150375939851E-2"/>
              <c:y val="0.48513384183784541"/>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404712960"/>
        <c:crosses val="autoZero"/>
        <c:crossBetween val="midCat"/>
        <c:majorUnit val="0.0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de-DE"/>
              <a:t>Zusammenhang Bildweite und Lichtabfall in Belichtungsstufen</a:t>
            </a:r>
          </a:p>
        </c:rich>
      </c:tx>
      <c:layout>
        <c:manualLayout>
          <c:xMode val="edge"/>
          <c:yMode val="edge"/>
          <c:x val="0.24790654936977097"/>
          <c:y val="2.8125000000000001E-2"/>
        </c:manualLayout>
      </c:layout>
      <c:overlay val="0"/>
      <c:spPr>
        <a:noFill/>
        <a:ln w="25400">
          <a:noFill/>
        </a:ln>
      </c:spPr>
    </c:title>
    <c:autoTitleDeleted val="0"/>
    <c:plotArea>
      <c:layout>
        <c:manualLayout>
          <c:layoutTarget val="inner"/>
          <c:xMode val="edge"/>
          <c:yMode val="edge"/>
          <c:x val="0.12395330158818439"/>
          <c:y val="0.17187513113031855"/>
          <c:w val="0.82244690648376406"/>
          <c:h val="0.79062560319946529"/>
        </c:manualLayout>
      </c:layout>
      <c:lineChart>
        <c:grouping val="standard"/>
        <c:varyColors val="0"/>
        <c:ser>
          <c:idx val="0"/>
          <c:order val="0"/>
          <c:tx>
            <c:v>Bildweite-Stufen</c:v>
          </c:tx>
          <c:spPr>
            <a:ln w="12700">
              <a:solidFill>
                <a:srgbClr val="000080"/>
              </a:solidFill>
              <a:prstDash val="solid"/>
            </a:ln>
          </c:spPr>
          <c:marker>
            <c:symbol val="none"/>
          </c:marker>
          <c:cat>
            <c:numRef>
              <c:f>'Belichtung-Bildweite'!$C$11:$R$11</c:f>
              <c:numCache>
                <c:formatCode>0.000</c:formatCode>
                <c:ptCount val="16"/>
                <c:pt idx="0">
                  <c:v>76.36363636363636</c:v>
                </c:pt>
                <c:pt idx="1">
                  <c:v>76.712328767123282</c:v>
                </c:pt>
                <c:pt idx="2">
                  <c:v>77.152698048220429</c:v>
                </c:pt>
                <c:pt idx="3">
                  <c:v>77.710320901994791</c:v>
                </c:pt>
                <c:pt idx="4">
                  <c:v>78.418787834585373</c:v>
                </c:pt>
                <c:pt idx="5">
                  <c:v>79.322746638632211</c:v>
                </c:pt>
                <c:pt idx="6">
                  <c:v>80.482430491553259</c:v>
                </c:pt>
                <c:pt idx="7">
                  <c:v>81.980607091671345</c:v>
                </c:pt>
                <c:pt idx="8">
                  <c:v>83.933632799504537</c:v>
                </c:pt>
                <c:pt idx="9">
                  <c:v>86.509788410237533</c:v>
                </c:pt>
                <c:pt idx="10">
                  <c:v>89.961237783612347</c:v>
                </c:pt>
                <c:pt idx="11">
                  <c:v>94.6831621258425</c:v>
                </c:pt>
                <c:pt idx="12">
                  <c:v>101.33158198118862</c:v>
                </c:pt>
                <c:pt idx="13">
                  <c:v>111.08141309994707</c:v>
                </c:pt>
                <c:pt idx="14">
                  <c:v>126.26781736522491</c:v>
                </c:pt>
                <c:pt idx="15">
                  <c:v>152.29370324462164</c:v>
                </c:pt>
              </c:numCache>
            </c:numRef>
          </c:cat>
          <c:val>
            <c:numRef>
              <c:f>'Belichtung-Bildweite'!$C$13:$R$13</c:f>
              <c:numCache>
                <c:formatCode>0.000</c:formatCode>
                <c:ptCount val="16"/>
                <c:pt idx="0">
                  <c:v>5.1990417065888583E-2</c:v>
                </c:pt>
                <c:pt idx="1">
                  <c:v>6.5135724912861237E-2</c:v>
                </c:pt>
                <c:pt idx="2">
                  <c:v>8.1652026917479165E-2</c:v>
                </c:pt>
                <c:pt idx="3">
                  <c:v>0.10243124736935218</c:v>
                </c:pt>
                <c:pt idx="4">
                  <c:v>0.12861749166186473</c:v>
                </c:pt>
                <c:pt idx="5">
                  <c:v>0.16168807549815228</c:v>
                </c:pt>
                <c:pt idx="6">
                  <c:v>0.203566556375123</c:v>
                </c:pt>
                <c:pt idx="7">
                  <c:v>0.25678415601062599</c:v>
                </c:pt>
                <c:pt idx="8">
                  <c:v>0.32471685800896505</c:v>
                </c:pt>
                <c:pt idx="9">
                  <c:v>0.41194556889341361</c:v>
                </c:pt>
                <c:pt idx="10">
                  <c:v>0.52482583159232532</c:v>
                </c:pt>
                <c:pt idx="11">
                  <c:v>0.67243458567437875</c:v>
                </c:pt>
                <c:pt idx="12">
                  <c:v>0.86824277559345386</c:v>
                </c:pt>
                <c:pt idx="13">
                  <c:v>1.1333098692419357</c:v>
                </c:pt>
                <c:pt idx="14">
                  <c:v>1.5030489538632263</c:v>
                </c:pt>
                <c:pt idx="15">
                  <c:v>2.043787584958515</c:v>
                </c:pt>
              </c:numCache>
            </c:numRef>
          </c:val>
          <c:smooth val="0"/>
        </c:ser>
        <c:dLbls>
          <c:showLegendKey val="0"/>
          <c:showVal val="0"/>
          <c:showCatName val="0"/>
          <c:showSerName val="0"/>
          <c:showPercent val="0"/>
          <c:showBubbleSize val="0"/>
        </c:dLbls>
        <c:marker val="1"/>
        <c:smooth val="0"/>
        <c:axId val="1334956032"/>
        <c:axId val="1341612608"/>
      </c:lineChart>
      <c:catAx>
        <c:axId val="1334956032"/>
        <c:scaling>
          <c:orientation val="minMax"/>
        </c:scaling>
        <c:delete val="0"/>
        <c:axPos val="t"/>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a:t>Bildweiten</a:t>
                </a:r>
              </a:p>
            </c:rich>
          </c:tx>
          <c:layout>
            <c:manualLayout>
              <c:xMode val="edge"/>
              <c:yMode val="edge"/>
              <c:x val="0.48241276373116676"/>
              <c:y val="9.6875000000000003E-2"/>
            </c:manualLayout>
          </c:layout>
          <c:overlay val="0"/>
          <c:spPr>
            <a:noFill/>
            <a:ln w="25400">
              <a:noFill/>
            </a:ln>
          </c:spPr>
        </c:title>
        <c:numFmt formatCode="0.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41612608"/>
        <c:crosses val="autoZero"/>
        <c:auto val="1"/>
        <c:lblAlgn val="ctr"/>
        <c:lblOffset val="100"/>
        <c:tickLblSkip val="2"/>
        <c:tickMarkSkip val="1"/>
        <c:noMultiLvlLbl val="0"/>
      </c:catAx>
      <c:valAx>
        <c:axId val="1341612608"/>
        <c:scaling>
          <c:orientation val="maxMin"/>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de-DE"/>
                  <a:t>Belichtungsstufen</a:t>
                </a:r>
              </a:p>
            </c:rich>
          </c:tx>
          <c:layout>
            <c:manualLayout>
              <c:xMode val="edge"/>
              <c:yMode val="edge"/>
              <c:x val="2.6800670016750419E-2"/>
              <c:y val="0.485937828083989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334956032"/>
        <c:crosses val="autoZero"/>
        <c:crossBetween val="midCat"/>
        <c:majorUnit val="0.0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trlProps/ctrlProp1.xml><?xml version="1.0" encoding="utf-8"?>
<formControlPr xmlns="http://schemas.microsoft.com/office/spreadsheetml/2009/9/main" objectType="Drop" dropLines="4" dropStyle="combo" dx="16" fmlaLink="$E$344" fmlaRange="$O$346:$O$363" noThreeD="1" sel="15" val="14"/>
</file>

<file path=xl/ctrlProps/ctrlProp10.xml><?xml version="1.0" encoding="utf-8"?>
<formControlPr xmlns="http://schemas.microsoft.com/office/spreadsheetml/2009/9/main" objectType="Drop" dropStyle="combo" dx="16" fmlaLink="B68" fmlaRange="$C$27:$C$42" noThreeD="1" sel="8" val="2"/>
</file>

<file path=xl/ctrlProps/ctrlProp11.xml><?xml version="1.0" encoding="utf-8"?>
<formControlPr xmlns="http://schemas.microsoft.com/office/spreadsheetml/2009/9/main" objectType="Drop" dropStyle="combo" dx="16" fmlaLink="B69" fmlaRange="$C$27:$C$42" noThreeD="1" sel="13" val="8"/>
</file>

<file path=xl/ctrlProps/ctrlProp12.xml><?xml version="1.0" encoding="utf-8"?>
<formControlPr xmlns="http://schemas.microsoft.com/office/spreadsheetml/2009/9/main" objectType="Drop" dropStyle="combo" dx="16" fmlaLink="B70" fmlaRange="$C$27:$C$42" noThreeD="1" sel="15" val="8"/>
</file>

<file path=xl/ctrlProps/ctrlProp13.xml><?xml version="1.0" encoding="utf-8"?>
<formControlPr xmlns="http://schemas.microsoft.com/office/spreadsheetml/2009/9/main" objectType="Drop" dropStyle="combo" dx="16" fmlaLink="$K$216" fmlaRange="$C$304:$C$324" noThreeD="1" sel="3" val="0"/>
</file>

<file path=xl/ctrlProps/ctrlProp14.xml><?xml version="1.0" encoding="utf-8"?>
<formControlPr xmlns="http://schemas.microsoft.com/office/spreadsheetml/2009/9/main" objectType="Drop" dropStyle="combo" dx="16" fmlaLink="$K$218" fmlaRange="$C$304:$C$324" noThreeD="1" val="0"/>
</file>

<file path=xl/ctrlProps/ctrlProp15.xml><?xml version="1.0" encoding="utf-8"?>
<formControlPr xmlns="http://schemas.microsoft.com/office/spreadsheetml/2009/9/main" objectType="Drop" dropStyle="combo" dx="16" fmlaLink="$K$217" fmlaRange="$C$304:$C$324" noThreeD="1" sel="6" val="0"/>
</file>

<file path=xl/ctrlProps/ctrlProp2.xml><?xml version="1.0" encoding="utf-8"?>
<formControlPr xmlns="http://schemas.microsoft.com/office/spreadsheetml/2009/9/main" objectType="Drop" dropLines="4" dropStyle="combo" dx="16" fmlaLink="$F$344" fmlaRange="$O$346:$O$363" noThreeD="1" sel="14" val="13"/>
</file>

<file path=xl/ctrlProps/ctrlProp3.xml><?xml version="1.0" encoding="utf-8"?>
<formControlPr xmlns="http://schemas.microsoft.com/office/spreadsheetml/2009/9/main" objectType="Drop" dropLines="4" dropStyle="combo" dx="16" fmlaLink="$L$344" fmlaRange="$O$346:$O$363" noThreeD="1" sel="6" val="5"/>
</file>

<file path=xl/ctrlProps/ctrlProp4.xml><?xml version="1.0" encoding="utf-8"?>
<formControlPr xmlns="http://schemas.microsoft.com/office/spreadsheetml/2009/9/main" objectType="Drop" dropLines="4" dropStyle="combo" dx="16" fmlaLink="$K$344" fmlaRange="$O$346:$O$363" noThreeD="1" sel="7" val="4"/>
</file>

<file path=xl/ctrlProps/ctrlProp5.xml><?xml version="1.0" encoding="utf-8"?>
<formControlPr xmlns="http://schemas.microsoft.com/office/spreadsheetml/2009/9/main" objectType="Drop" dropStyle="combo" dx="16" fmlaLink="B63" fmlaRange="$C$27:$C$42" noThreeD="1" sel="5" val="2"/>
</file>

<file path=xl/ctrlProps/ctrlProp6.xml><?xml version="1.0" encoding="utf-8"?>
<formControlPr xmlns="http://schemas.microsoft.com/office/spreadsheetml/2009/9/main" objectType="Drop" dropStyle="combo" dx="16" fmlaLink="B64" fmlaRange="$C$27:$C$42" noThreeD="1" sel="3" val="0"/>
</file>

<file path=xl/ctrlProps/ctrlProp7.xml><?xml version="1.0" encoding="utf-8"?>
<formControlPr xmlns="http://schemas.microsoft.com/office/spreadsheetml/2009/9/main" objectType="Drop" dropStyle="combo" dx="16" fmlaLink="B65" fmlaRange="$C$27:$C$42" noThreeD="1" sel="6" val="2"/>
</file>

<file path=xl/ctrlProps/ctrlProp8.xml><?xml version="1.0" encoding="utf-8"?>
<formControlPr xmlns="http://schemas.microsoft.com/office/spreadsheetml/2009/9/main" objectType="Drop" dropStyle="combo" dx="16" fmlaLink="B66" fmlaRange="$C$27:$C$42" noThreeD="1" sel="9" val="0"/>
</file>

<file path=xl/ctrlProps/ctrlProp9.xml><?xml version="1.0" encoding="utf-8"?>
<formControlPr xmlns="http://schemas.microsoft.com/office/spreadsheetml/2009/9/main" objectType="Drop" dropStyle="combo" dx="16" fmlaLink="B67" fmlaRange="$C$27:$C$42" noThreeD="1" sel="5" val="2"/>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5.png"/><Relationship Id="rId5" Type="http://schemas.openxmlformats.org/officeDocument/2006/relationships/hyperlink" Target="https://phet.colorado.edu/de/simulation/legacy/geometric-optics" TargetMode="External"/><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gif"/></Relationships>
</file>

<file path=xl/drawings/_rels/drawing15.xml.rels><?xml version="1.0" encoding="UTF-8" standalone="yes"?>
<Relationships xmlns="http://schemas.openxmlformats.org/package/2006/relationships"><Relationship Id="rId13" Type="http://schemas.openxmlformats.org/officeDocument/2006/relationships/customXml" Target="../ink/ink6.xml"/><Relationship Id="rId18" Type="http://schemas.openxmlformats.org/officeDocument/2006/relationships/image" Target="../media/image31.emf"/><Relationship Id="rId26" Type="http://schemas.openxmlformats.org/officeDocument/2006/relationships/image" Target="../media/image35.emf"/><Relationship Id="rId39" Type="http://schemas.openxmlformats.org/officeDocument/2006/relationships/customXml" Target="../ink/ink19.xml"/><Relationship Id="rId21" Type="http://schemas.openxmlformats.org/officeDocument/2006/relationships/customXml" Target="../ink/ink10.xml"/><Relationship Id="rId34" Type="http://schemas.openxmlformats.org/officeDocument/2006/relationships/image" Target="../media/image39.emf"/><Relationship Id="rId42" Type="http://schemas.openxmlformats.org/officeDocument/2006/relationships/image" Target="../media/image43.emf"/><Relationship Id="rId47" Type="http://schemas.openxmlformats.org/officeDocument/2006/relationships/customXml" Target="../ink/ink23.xml"/><Relationship Id="rId50" Type="http://schemas.openxmlformats.org/officeDocument/2006/relationships/image" Target="../media/image47.emf"/><Relationship Id="rId7" Type="http://schemas.openxmlformats.org/officeDocument/2006/relationships/customXml" Target="../ink/ink3.xml"/><Relationship Id="rId2" Type="http://schemas.openxmlformats.org/officeDocument/2006/relationships/chart" Target="../charts/chart4.xml"/><Relationship Id="rId16" Type="http://schemas.openxmlformats.org/officeDocument/2006/relationships/image" Target="../media/image30.emf"/><Relationship Id="rId29" Type="http://schemas.openxmlformats.org/officeDocument/2006/relationships/customXml" Target="../ink/ink14.xml"/><Relationship Id="rId11" Type="http://schemas.openxmlformats.org/officeDocument/2006/relationships/customXml" Target="../ink/ink5.xml"/><Relationship Id="rId24" Type="http://schemas.openxmlformats.org/officeDocument/2006/relationships/image" Target="../media/image34.emf"/><Relationship Id="rId32" Type="http://schemas.openxmlformats.org/officeDocument/2006/relationships/image" Target="../media/image38.emf"/><Relationship Id="rId37" Type="http://schemas.openxmlformats.org/officeDocument/2006/relationships/customXml" Target="../ink/ink18.xml"/><Relationship Id="rId40" Type="http://schemas.openxmlformats.org/officeDocument/2006/relationships/image" Target="../media/image42.emf"/><Relationship Id="rId45" Type="http://schemas.openxmlformats.org/officeDocument/2006/relationships/customXml" Target="../ink/ink22.xml"/><Relationship Id="rId5" Type="http://schemas.openxmlformats.org/officeDocument/2006/relationships/customXml" Target="../ink/ink2.xml"/><Relationship Id="rId15" Type="http://schemas.openxmlformats.org/officeDocument/2006/relationships/customXml" Target="../ink/ink7.xml"/><Relationship Id="rId23" Type="http://schemas.openxmlformats.org/officeDocument/2006/relationships/customXml" Target="../ink/ink11.xml"/><Relationship Id="rId28" Type="http://schemas.openxmlformats.org/officeDocument/2006/relationships/image" Target="../media/image36.emf"/><Relationship Id="rId36" Type="http://schemas.openxmlformats.org/officeDocument/2006/relationships/image" Target="../media/image40.emf"/><Relationship Id="rId49" Type="http://schemas.openxmlformats.org/officeDocument/2006/relationships/customXml" Target="../ink/ink24.xml"/><Relationship Id="rId10" Type="http://schemas.openxmlformats.org/officeDocument/2006/relationships/image" Target="../media/image270.emf"/><Relationship Id="rId19" Type="http://schemas.openxmlformats.org/officeDocument/2006/relationships/customXml" Target="../ink/ink9.xml"/><Relationship Id="rId31" Type="http://schemas.openxmlformats.org/officeDocument/2006/relationships/customXml" Target="../ink/ink15.xml"/><Relationship Id="rId44" Type="http://schemas.openxmlformats.org/officeDocument/2006/relationships/image" Target="../media/image44.emf"/><Relationship Id="rId4" Type="http://schemas.openxmlformats.org/officeDocument/2006/relationships/image" Target="../media/image240.emf"/><Relationship Id="rId9" Type="http://schemas.openxmlformats.org/officeDocument/2006/relationships/customXml" Target="../ink/ink4.xml"/><Relationship Id="rId14" Type="http://schemas.openxmlformats.org/officeDocument/2006/relationships/image" Target="../media/image29.emf"/><Relationship Id="rId22" Type="http://schemas.openxmlformats.org/officeDocument/2006/relationships/image" Target="../media/image33.emf"/><Relationship Id="rId27" Type="http://schemas.openxmlformats.org/officeDocument/2006/relationships/customXml" Target="../ink/ink13.xml"/><Relationship Id="rId30" Type="http://schemas.openxmlformats.org/officeDocument/2006/relationships/image" Target="../media/image37.emf"/><Relationship Id="rId35" Type="http://schemas.openxmlformats.org/officeDocument/2006/relationships/customXml" Target="../ink/ink17.xml"/><Relationship Id="rId43" Type="http://schemas.openxmlformats.org/officeDocument/2006/relationships/customXml" Target="../ink/ink21.xml"/><Relationship Id="rId48" Type="http://schemas.openxmlformats.org/officeDocument/2006/relationships/image" Target="../media/image46.emf"/><Relationship Id="rId8" Type="http://schemas.openxmlformats.org/officeDocument/2006/relationships/image" Target="../media/image260.emf"/><Relationship Id="rId3" Type="http://schemas.openxmlformats.org/officeDocument/2006/relationships/customXml" Target="../ink/ink1.xml"/><Relationship Id="rId12" Type="http://schemas.openxmlformats.org/officeDocument/2006/relationships/image" Target="../media/image28.emf"/><Relationship Id="rId17" Type="http://schemas.openxmlformats.org/officeDocument/2006/relationships/customXml" Target="../ink/ink8.xml"/><Relationship Id="rId25" Type="http://schemas.openxmlformats.org/officeDocument/2006/relationships/customXml" Target="../ink/ink12.xml"/><Relationship Id="rId33" Type="http://schemas.openxmlformats.org/officeDocument/2006/relationships/customXml" Target="../ink/ink16.xml"/><Relationship Id="rId38" Type="http://schemas.openxmlformats.org/officeDocument/2006/relationships/image" Target="../media/image41.emf"/><Relationship Id="rId46" Type="http://schemas.openxmlformats.org/officeDocument/2006/relationships/image" Target="../media/image45.emf"/><Relationship Id="rId20" Type="http://schemas.openxmlformats.org/officeDocument/2006/relationships/image" Target="../media/image32.emf"/><Relationship Id="rId41" Type="http://schemas.openxmlformats.org/officeDocument/2006/relationships/customXml" Target="../ink/ink20.xml"/><Relationship Id="rId1" Type="http://schemas.openxmlformats.org/officeDocument/2006/relationships/chart" Target="../charts/chart3.xml"/><Relationship Id="rId6" Type="http://schemas.openxmlformats.org/officeDocument/2006/relationships/image" Target="../media/image250.emf"/></Relationships>
</file>

<file path=xl/drawings/_rels/drawing16.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9.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2.JPG"/></Relationships>
</file>

<file path=xl/drawings/_rels/drawing2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image" Target="../media/image56.png"/><Relationship Id="rId7" Type="http://schemas.openxmlformats.org/officeDocument/2006/relationships/image" Target="../media/image60.png"/><Relationship Id="rId2" Type="http://schemas.openxmlformats.org/officeDocument/2006/relationships/image" Target="../media/image55.png"/><Relationship Id="rId1" Type="http://schemas.openxmlformats.org/officeDocument/2006/relationships/image" Target="../media/image54.png"/><Relationship Id="rId6" Type="http://schemas.openxmlformats.org/officeDocument/2006/relationships/image" Target="../media/image59.png"/><Relationship Id="rId5" Type="http://schemas.openxmlformats.org/officeDocument/2006/relationships/image" Target="../media/image58.png"/><Relationship Id="rId10" Type="http://schemas.openxmlformats.org/officeDocument/2006/relationships/chart" Target="../charts/chart22.xml"/><Relationship Id="rId4" Type="http://schemas.openxmlformats.org/officeDocument/2006/relationships/image" Target="../media/image57.png"/><Relationship Id="rId9" Type="http://schemas.openxmlformats.org/officeDocument/2006/relationships/chart" Target="../charts/chart21.xml"/></Relationships>
</file>

<file path=xl/drawings/_rels/drawing30.xml.rels><?xml version="1.0" encoding="UTF-8" standalone="yes"?>
<Relationships xmlns="http://schemas.openxmlformats.org/package/2006/relationships"><Relationship Id="rId1" Type="http://schemas.openxmlformats.org/officeDocument/2006/relationships/image" Target="../media/image61.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62.jpg"/></Relationships>
</file>

<file path=xl/drawings/_rels/drawing32.xml.rels><?xml version="1.0" encoding="UTF-8" standalone="yes"?>
<Relationships xmlns="http://schemas.openxmlformats.org/package/2006/relationships"><Relationship Id="rId1" Type="http://schemas.openxmlformats.org/officeDocument/2006/relationships/image" Target="../media/image63.jpeg"/></Relationships>
</file>

<file path=xl/drawings/_rels/drawing34.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image" Target="../media/image64.jpeg"/><Relationship Id="rId6" Type="http://schemas.openxmlformats.org/officeDocument/2006/relationships/image" Target="../media/image53.png"/><Relationship Id="rId5" Type="http://schemas.openxmlformats.org/officeDocument/2006/relationships/image" Target="../media/image65.png"/><Relationship Id="rId4" Type="http://schemas.openxmlformats.org/officeDocument/2006/relationships/chart" Target="../charts/chart26.xml"/></Relationships>
</file>

<file path=xl/drawings/_rels/drawing36.xml.rels><?xml version="1.0" encoding="UTF-8" standalone="yes"?>
<Relationships xmlns="http://schemas.openxmlformats.org/package/2006/relationships"><Relationship Id="rId1" Type="http://schemas.openxmlformats.org/officeDocument/2006/relationships/image" Target="../media/image66.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67.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69.png"/><Relationship Id="rId1" Type="http://schemas.openxmlformats.org/officeDocument/2006/relationships/image" Target="../media/image68.png"/></Relationships>
</file>

<file path=xl/drawings/_rels/drawing4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_rels/drawing7.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8.emf"/></Relationships>
</file>

<file path=xl/drawings/drawing1.xml><?xml version="1.0" encoding="utf-8"?>
<xdr:wsDr xmlns:xdr="http://schemas.openxmlformats.org/drawingml/2006/spreadsheetDrawing" xmlns:a="http://schemas.openxmlformats.org/drawingml/2006/main">
  <xdr:twoCellAnchor editAs="oneCell">
    <xdr:from>
      <xdr:col>1</xdr:col>
      <xdr:colOff>760942</xdr:colOff>
      <xdr:row>2</xdr:row>
      <xdr:rowOff>66675</xdr:rowOff>
    </xdr:from>
    <xdr:to>
      <xdr:col>15</xdr:col>
      <xdr:colOff>151342</xdr:colOff>
      <xdr:row>37</xdr:row>
      <xdr:rowOff>22746</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2942" y="384175"/>
          <a:ext cx="10058400" cy="5512321"/>
        </a:xfrm>
        <a:prstGeom prst="rect">
          <a:avLst/>
        </a:prstGeom>
      </xdr:spPr>
    </xdr:pic>
    <xdr:clientData/>
  </xdr:twoCellAnchor>
  <xdr:twoCellAnchor editAs="oneCell">
    <xdr:from>
      <xdr:col>0</xdr:col>
      <xdr:colOff>666750</xdr:colOff>
      <xdr:row>61</xdr:row>
      <xdr:rowOff>52916</xdr:rowOff>
    </xdr:from>
    <xdr:to>
      <xdr:col>9</xdr:col>
      <xdr:colOff>608750</xdr:colOff>
      <xdr:row>121</xdr:row>
      <xdr:rowOff>108845</xdr:rowOff>
    </xdr:to>
    <xdr:pic>
      <xdr:nvPicPr>
        <xdr:cNvPr id="12" name="Grafik 11"/>
        <xdr:cNvPicPr>
          <a:picLocks noChangeAspect="1"/>
        </xdr:cNvPicPr>
      </xdr:nvPicPr>
      <xdr:blipFill>
        <a:blip xmlns:r="http://schemas.openxmlformats.org/officeDocument/2006/relationships" r:embed="rId2"/>
        <a:stretch>
          <a:fillRect/>
        </a:stretch>
      </xdr:blipFill>
      <xdr:spPr>
        <a:xfrm>
          <a:off x="666750" y="9736666"/>
          <a:ext cx="6800000" cy="9580929"/>
        </a:xfrm>
        <a:prstGeom prst="rect">
          <a:avLst/>
        </a:prstGeom>
      </xdr:spPr>
    </xdr:pic>
    <xdr:clientData/>
  </xdr:twoCellAnchor>
  <xdr:twoCellAnchor editAs="oneCell">
    <xdr:from>
      <xdr:col>10</xdr:col>
      <xdr:colOff>21166</xdr:colOff>
      <xdr:row>62</xdr:row>
      <xdr:rowOff>137584</xdr:rowOff>
    </xdr:from>
    <xdr:to>
      <xdr:col>17</xdr:col>
      <xdr:colOff>220500</xdr:colOff>
      <xdr:row>122</xdr:row>
      <xdr:rowOff>15736</xdr:rowOff>
    </xdr:to>
    <xdr:pic>
      <xdr:nvPicPr>
        <xdr:cNvPr id="14" name="Grafik 13"/>
        <xdr:cNvPicPr>
          <a:picLocks noChangeAspect="1"/>
        </xdr:cNvPicPr>
      </xdr:nvPicPr>
      <xdr:blipFill>
        <a:blip xmlns:r="http://schemas.openxmlformats.org/officeDocument/2006/relationships" r:embed="rId3"/>
        <a:stretch>
          <a:fillRect/>
        </a:stretch>
      </xdr:blipFill>
      <xdr:spPr>
        <a:xfrm>
          <a:off x="7641166" y="9980084"/>
          <a:ext cx="5533334" cy="9403152"/>
        </a:xfrm>
        <a:prstGeom prst="rect">
          <a:avLst/>
        </a:prstGeom>
      </xdr:spPr>
    </xdr:pic>
    <xdr:clientData/>
  </xdr:twoCellAnchor>
  <xdr:twoCellAnchor editAs="oneCell">
    <xdr:from>
      <xdr:col>17</xdr:col>
      <xdr:colOff>405341</xdr:colOff>
      <xdr:row>62</xdr:row>
      <xdr:rowOff>95250</xdr:rowOff>
    </xdr:from>
    <xdr:to>
      <xdr:col>25</xdr:col>
      <xdr:colOff>680770</xdr:colOff>
      <xdr:row>122</xdr:row>
      <xdr:rowOff>74989</xdr:rowOff>
    </xdr:to>
    <xdr:pic>
      <xdr:nvPicPr>
        <xdr:cNvPr id="15" name="Grafik 14"/>
        <xdr:cNvPicPr>
          <a:picLocks noChangeAspect="1"/>
        </xdr:cNvPicPr>
      </xdr:nvPicPr>
      <xdr:blipFill>
        <a:blip xmlns:r="http://schemas.openxmlformats.org/officeDocument/2006/relationships" r:embed="rId4"/>
        <a:stretch>
          <a:fillRect/>
        </a:stretch>
      </xdr:blipFill>
      <xdr:spPr>
        <a:xfrm>
          <a:off x="13359341" y="9937750"/>
          <a:ext cx="6371429" cy="9504739"/>
        </a:xfrm>
        <a:prstGeom prst="rect">
          <a:avLst/>
        </a:prstGeom>
      </xdr:spPr>
    </xdr:pic>
    <xdr:clientData/>
  </xdr:twoCellAnchor>
  <xdr:twoCellAnchor editAs="oneCell">
    <xdr:from>
      <xdr:col>16</xdr:col>
      <xdr:colOff>285751</xdr:colOff>
      <xdr:row>5</xdr:row>
      <xdr:rowOff>10582</xdr:rowOff>
    </xdr:from>
    <xdr:to>
      <xdr:col>23</xdr:col>
      <xdr:colOff>518584</xdr:colOff>
      <xdr:row>32</xdr:row>
      <xdr:rowOff>105501</xdr:rowOff>
    </xdr:to>
    <xdr:pic>
      <xdr:nvPicPr>
        <xdr:cNvPr id="17" name="Grafik 16">
          <a:hlinkClick xmlns:r="http://schemas.openxmlformats.org/officeDocument/2006/relationships" r:id="rId5" tooltip="Optische Abbildung"/>
        </xdr:cNvPr>
        <xdr:cNvPicPr>
          <a:picLocks noChangeAspect="1"/>
        </xdr:cNvPicPr>
      </xdr:nvPicPr>
      <xdr:blipFill>
        <a:blip xmlns:r="http://schemas.openxmlformats.org/officeDocument/2006/relationships" r:embed="rId6"/>
        <a:stretch>
          <a:fillRect/>
        </a:stretch>
      </xdr:blipFill>
      <xdr:spPr>
        <a:xfrm>
          <a:off x="12477751" y="804332"/>
          <a:ext cx="5566833" cy="43811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19050</xdr:rowOff>
    </xdr:from>
    <xdr:to>
      <xdr:col>10</xdr:col>
      <xdr:colOff>552450</xdr:colOff>
      <xdr:row>34</xdr:row>
      <xdr:rowOff>85725</xdr:rowOff>
    </xdr:to>
    <xdr:pic>
      <xdr:nvPicPr>
        <xdr:cNvPr id="2" name="Picture 1" descr="kilian_auflösung_dp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180975"/>
          <a:ext cx="360045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561975</xdr:colOff>
      <xdr:row>23</xdr:row>
      <xdr:rowOff>142876</xdr:rowOff>
    </xdr:from>
    <xdr:to>
      <xdr:col>16</xdr:col>
      <xdr:colOff>720516</xdr:colOff>
      <xdr:row>48</xdr:row>
      <xdr:rowOff>95251</xdr:rowOff>
    </xdr:to>
    <xdr:pic>
      <xdr:nvPicPr>
        <xdr:cNvPr id="3" name="Grafik 2" descr="lumen_zu_lux.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867151"/>
          <a:ext cx="2444541" cy="400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581025</xdr:colOff>
      <xdr:row>45</xdr:row>
      <xdr:rowOff>142874</xdr:rowOff>
    </xdr:from>
    <xdr:to>
      <xdr:col>13</xdr:col>
      <xdr:colOff>428625</xdr:colOff>
      <xdr:row>79</xdr:row>
      <xdr:rowOff>38100</xdr:rowOff>
    </xdr:to>
    <xdr:sp macro="" textlink="">
      <xdr:nvSpPr>
        <xdr:cNvPr id="4" name="Textfeld 3"/>
        <xdr:cNvSpPr txBox="1"/>
      </xdr:nvSpPr>
      <xdr:spPr>
        <a:xfrm>
          <a:off x="8296275" y="7429499"/>
          <a:ext cx="4419600" cy="5400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Berechnung basiert auf den folgenden Formeln:</a:t>
          </a:r>
        </a:p>
        <a:p>
          <a:endParaRPr lang="de-DE" sz="1100"/>
        </a:p>
        <a:p>
          <a:r>
            <a:rPr lang="de-DE" sz="1100"/>
            <a:t>Lichtstärke (I – Candela – cd) = Lichtstrom ( Lumen – lm) geteilt durch Raumwinkel (Steradiant – sr)</a:t>
          </a:r>
        </a:p>
        <a:p>
          <a:endParaRPr lang="de-DE" sz="1100"/>
        </a:p>
        <a:p>
          <a:r>
            <a:rPr lang="de-DE" sz="1100">
              <a:solidFill>
                <a:schemeClr val="dk1"/>
              </a:solidFill>
              <a:effectLst/>
              <a:latin typeface="+mn-lt"/>
              <a:ea typeface="+mn-ea"/>
              <a:cs typeface="+mn-cs"/>
            </a:rPr>
            <a:t>Bezieht sich der Raumwinkel auf einen Kegel mit gewölbter</a:t>
          </a:r>
          <a:r>
            <a:rPr lang="de-DE" sz="1100" baseline="0">
              <a:solidFill>
                <a:schemeClr val="dk1"/>
              </a:solidFill>
              <a:effectLst/>
              <a:latin typeface="+mn-lt"/>
              <a:ea typeface="+mn-ea"/>
              <a:cs typeface="+mn-cs"/>
            </a:rPr>
            <a:t> Oberfläche </a:t>
          </a:r>
          <a:r>
            <a:rPr lang="de-DE" sz="1100">
              <a:solidFill>
                <a:schemeClr val="dk1"/>
              </a:solidFill>
              <a:effectLst/>
              <a:latin typeface="+mn-lt"/>
              <a:ea typeface="+mn-ea"/>
              <a:cs typeface="+mn-cs"/>
            </a:rPr>
            <a:t>vom Kugelmittelpunkt aus, rechnet man:</a:t>
          </a:r>
          <a:endParaRPr lang="de-DE" sz="1100"/>
        </a:p>
        <a:p>
          <a:r>
            <a:rPr lang="de-DE" sz="1100" b="1"/>
            <a:t>Raumwinkel </a:t>
          </a:r>
          <a:r>
            <a:rPr lang="de-DE" sz="1100"/>
            <a:t>= Steradiant</a:t>
          </a:r>
          <a:r>
            <a:rPr lang="de-DE" sz="1100" baseline="0"/>
            <a:t> sr = </a:t>
          </a:r>
          <a:r>
            <a:rPr lang="de-DE" sz="1100"/>
            <a:t>Beleuchtete  Fläche/Beleuchtungsabstand</a:t>
          </a:r>
        </a:p>
        <a:p>
          <a:endParaRPr lang="de-DE" sz="1100"/>
        </a:p>
        <a:p>
          <a:r>
            <a:rPr lang="de-DE" sz="1100"/>
            <a:t>Bezieht sich der Raumwinkel auf einen Kreiskegel vom Kugelmittelpunkt aus, wie in der Abbildung rechts (</a:t>
          </a:r>
          <a:r>
            <a:rPr lang="de-DE" sz="1100">
              <a:solidFill>
                <a:srgbClr val="FF0000"/>
              </a:solidFill>
            </a:rPr>
            <a:t>kanonischer Raumwinkel</a:t>
          </a:r>
          <a:r>
            <a:rPr lang="de-DE" sz="1100"/>
            <a:t>), so kann man ihn im Schnitt durch die Kugelmitte als ebenen Winkel </a:t>
          </a:r>
          <a:r>
            <a:rPr lang="el-GR" sz="1100"/>
            <a:t>α </a:t>
          </a:r>
          <a:r>
            <a:rPr lang="de-DE" sz="1100"/>
            <a:t>betrachten. Aus der Beziehung für die Fläche der Kugelkappe des Kegels und dem Winkel </a:t>
          </a:r>
          <a:r>
            <a:rPr lang="el-GR" sz="1100"/>
            <a:t>α</a:t>
          </a:r>
          <a:r>
            <a:rPr lang="de-DE" sz="1100" baseline="0"/>
            <a:t> </a:t>
          </a:r>
          <a:r>
            <a:rPr lang="de-DE" sz="1100"/>
            <a:t>lässt sich folgender Zusammenhang ableiten:</a:t>
          </a:r>
        </a:p>
        <a:p>
          <a:r>
            <a:rPr lang="de-DE" sz="1100" b="1"/>
            <a:t>Kanon. Raumwinkel</a:t>
          </a:r>
          <a:r>
            <a:rPr lang="de-DE" sz="1100" b="1" baseline="0"/>
            <a:t> </a:t>
          </a:r>
          <a:r>
            <a:rPr lang="de-DE" sz="1100" baseline="0"/>
            <a:t>= 2 * pi() * (1-cos(halber Winkel))</a:t>
          </a:r>
          <a:endParaRPr lang="de-DE" sz="1100"/>
        </a:p>
        <a:p>
          <a:endParaRPr lang="de-DE" sz="1100"/>
        </a:p>
        <a:p>
          <a:r>
            <a:rPr lang="de-DE" sz="1100"/>
            <a:t>Lichtstärke = Candela = Lichtstrom / Raumwinkel</a:t>
          </a:r>
          <a:r>
            <a:rPr lang="de-DE" sz="1100" baseline="0"/>
            <a:t> = </a:t>
          </a:r>
          <a:r>
            <a:rPr lang="de-DE" sz="1100"/>
            <a:t> Lumen / Steradiant</a:t>
          </a:r>
        </a:p>
        <a:p>
          <a:endParaRPr lang="de-DE" sz="1100"/>
        </a:p>
        <a:p>
          <a:r>
            <a:rPr lang="de-DE" sz="1100"/>
            <a:t>Beleuchtungsstärke (E – Lux – lx) = Lichtstärke (I – Candela – cd) geteilt durch Radius² oder Abstand²</a:t>
          </a:r>
          <a:br>
            <a:rPr lang="de-DE" sz="1100"/>
          </a:br>
          <a:r>
            <a:rPr lang="de-DE" sz="1100"/>
            <a:t>E = I/r²</a:t>
          </a:r>
        </a:p>
        <a:p>
          <a:endParaRPr lang="de-DE" sz="1100"/>
        </a:p>
        <a:p>
          <a:r>
            <a:rPr lang="de-DE" sz="1100"/>
            <a:t>Rechnung mit kanonischem Raumwinkel:</a:t>
          </a:r>
        </a:p>
        <a:p>
          <a:endParaRPr lang="de-DE" sz="1100"/>
        </a:p>
        <a:p>
          <a:r>
            <a:rPr lang="de-DE" sz="1100"/>
            <a:t>Eine GU10 LED mit 350 Lumen, einem Abstrahlwinkel von 35° und einer Entfernung zum Boden von 2,40 Metern erzielt eine</a:t>
          </a:r>
          <a:r>
            <a:rPr lang="de-DE" sz="1100" baseline="0"/>
            <a:t> </a:t>
          </a:r>
          <a:r>
            <a:rPr lang="de-DE" sz="1100"/>
            <a:t>beleuchtete Fläche </a:t>
          </a:r>
          <a:r>
            <a:rPr lang="de-DE" sz="1100">
              <a:solidFill>
                <a:schemeClr val="dk1"/>
              </a:solidFill>
              <a:effectLst/>
              <a:latin typeface="+mn-lt"/>
              <a:ea typeface="+mn-ea"/>
              <a:cs typeface="+mn-cs"/>
            </a:rPr>
            <a:t>von 1,80 Quadratmetern </a:t>
          </a:r>
          <a:r>
            <a:rPr lang="de-DE" sz="1100"/>
            <a:t>mit dem Durchmesser von 1,5 Metern,</a:t>
          </a:r>
          <a:br>
            <a:rPr lang="de-DE" sz="1100"/>
          </a:br>
          <a:r>
            <a:rPr lang="de-DE" sz="1100"/>
            <a:t>eine Lichtstärke von 1203 Candela und eine Beleuchtungsstärke von ca. 208 Lux </a:t>
          </a:r>
        </a:p>
        <a:p>
          <a:endParaRPr lang="de-DE" sz="1100"/>
        </a:p>
      </xdr:txBody>
    </xdr:sp>
    <xdr:clientData/>
  </xdr:twoCellAnchor>
  <xdr:twoCellAnchor editAs="oneCell">
    <xdr:from>
      <xdr:col>14</xdr:col>
      <xdr:colOff>247649</xdr:colOff>
      <xdr:row>55</xdr:row>
      <xdr:rowOff>85725</xdr:rowOff>
    </xdr:from>
    <xdr:to>
      <xdr:col>16</xdr:col>
      <xdr:colOff>295274</xdr:colOff>
      <xdr:row>65</xdr:row>
      <xdr:rowOff>33584</xdr:rowOff>
    </xdr:to>
    <xdr:pic>
      <xdr:nvPicPr>
        <xdr:cNvPr id="6" name="Grafik 5" descr="Raumwinkel in einer Kuge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flipV="1">
          <a:off x="13296899" y="8991600"/>
          <a:ext cx="1571625" cy="1567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238125</xdr:colOff>
      <xdr:row>1</xdr:row>
      <xdr:rowOff>95250</xdr:rowOff>
    </xdr:from>
    <xdr:to>
      <xdr:col>19</xdr:col>
      <xdr:colOff>733425</xdr:colOff>
      <xdr:row>21</xdr:row>
      <xdr:rowOff>66675</xdr:rowOff>
    </xdr:to>
    <xdr:grpSp>
      <xdr:nvGrpSpPr>
        <xdr:cNvPr id="2" name="Gruppieren 1"/>
        <xdr:cNvGrpSpPr>
          <a:grpSpLocks/>
        </xdr:cNvGrpSpPr>
      </xdr:nvGrpSpPr>
      <xdr:grpSpPr bwMode="auto">
        <a:xfrm>
          <a:off x="9896475" y="257175"/>
          <a:ext cx="7353300" cy="3314700"/>
          <a:chOff x="1114425" y="6010275"/>
          <a:chExt cx="7353300" cy="3352800"/>
        </a:xfrm>
      </xdr:grpSpPr>
      <xdr:sp macro="" textlink="">
        <xdr:nvSpPr>
          <xdr:cNvPr id="3" name="Line 1"/>
          <xdr:cNvSpPr>
            <a:spLocks noChangeShapeType="1"/>
          </xdr:cNvSpPr>
        </xdr:nvSpPr>
        <xdr:spPr bwMode="auto">
          <a:xfrm>
            <a:off x="5695950" y="6010275"/>
            <a:ext cx="0" cy="33432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Oval 2"/>
          <xdr:cNvSpPr>
            <a:spLocks noChangeArrowheads="1"/>
          </xdr:cNvSpPr>
        </xdr:nvSpPr>
        <xdr:spPr bwMode="auto">
          <a:xfrm>
            <a:off x="1323975" y="6667500"/>
            <a:ext cx="438150" cy="571500"/>
          </a:xfrm>
          <a:prstGeom prst="ellipse">
            <a:avLst/>
          </a:prstGeom>
          <a:solidFill>
            <a:srgbClr val="FFFFFF"/>
          </a:solidFill>
          <a:ln w="9525">
            <a:solidFill>
              <a:srgbClr val="000000"/>
            </a:solidFill>
            <a:round/>
            <a:headEnd/>
            <a:tailEnd/>
          </a:ln>
        </xdr:spPr>
      </xdr:sp>
      <xdr:sp macro="" textlink="">
        <xdr:nvSpPr>
          <xdr:cNvPr id="5" name="Line 3"/>
          <xdr:cNvSpPr>
            <a:spLocks noChangeShapeType="1"/>
          </xdr:cNvSpPr>
        </xdr:nvSpPr>
        <xdr:spPr bwMode="auto">
          <a:xfrm>
            <a:off x="1533525" y="7239000"/>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Oval 4"/>
          <xdr:cNvSpPr>
            <a:spLocks noChangeArrowheads="1"/>
          </xdr:cNvSpPr>
        </xdr:nvSpPr>
        <xdr:spPr bwMode="auto">
          <a:xfrm>
            <a:off x="1400175" y="7372350"/>
            <a:ext cx="276225" cy="1219200"/>
          </a:xfrm>
          <a:prstGeom prst="ellipse">
            <a:avLst/>
          </a:prstGeom>
          <a:solidFill>
            <a:srgbClr val="FFFFFF"/>
          </a:solidFill>
          <a:ln w="9525">
            <a:solidFill>
              <a:srgbClr val="000000"/>
            </a:solidFill>
            <a:round/>
            <a:headEnd/>
            <a:tailEnd/>
          </a:ln>
        </xdr:spPr>
      </xdr:sp>
      <xdr:sp macro="" textlink="">
        <xdr:nvSpPr>
          <xdr:cNvPr id="7" name="Line 5"/>
          <xdr:cNvSpPr>
            <a:spLocks noChangeShapeType="1"/>
          </xdr:cNvSpPr>
        </xdr:nvSpPr>
        <xdr:spPr bwMode="auto">
          <a:xfrm>
            <a:off x="1485900" y="8515350"/>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6"/>
          <xdr:cNvSpPr>
            <a:spLocks noChangeShapeType="1"/>
          </xdr:cNvSpPr>
        </xdr:nvSpPr>
        <xdr:spPr bwMode="auto">
          <a:xfrm>
            <a:off x="1619250" y="8515350"/>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Oval 7"/>
          <xdr:cNvSpPr>
            <a:spLocks noChangeArrowheads="1"/>
          </xdr:cNvSpPr>
        </xdr:nvSpPr>
        <xdr:spPr bwMode="auto">
          <a:xfrm>
            <a:off x="1628775" y="9296400"/>
            <a:ext cx="190500" cy="57150"/>
          </a:xfrm>
          <a:prstGeom prst="ellipse">
            <a:avLst/>
          </a:prstGeom>
          <a:solidFill>
            <a:srgbClr val="FFFFFF"/>
          </a:solidFill>
          <a:ln w="9525">
            <a:solidFill>
              <a:srgbClr val="000000"/>
            </a:solidFill>
            <a:round/>
            <a:headEnd/>
            <a:tailEnd/>
          </a:ln>
        </xdr:spPr>
      </xdr:sp>
      <xdr:sp macro="" textlink="">
        <xdr:nvSpPr>
          <xdr:cNvPr id="10" name="Oval 8"/>
          <xdr:cNvSpPr>
            <a:spLocks noChangeArrowheads="1"/>
          </xdr:cNvSpPr>
        </xdr:nvSpPr>
        <xdr:spPr bwMode="auto">
          <a:xfrm>
            <a:off x="1466850" y="9286875"/>
            <a:ext cx="171450" cy="57150"/>
          </a:xfrm>
          <a:prstGeom prst="ellipse">
            <a:avLst/>
          </a:prstGeom>
          <a:solidFill>
            <a:srgbClr val="FFFFFF"/>
          </a:solidFill>
          <a:ln w="9525">
            <a:solidFill>
              <a:srgbClr val="000000"/>
            </a:solidFill>
            <a:round/>
            <a:headEnd/>
            <a:tailEnd/>
          </a:ln>
        </xdr:spPr>
      </xdr:sp>
      <xdr:sp macro="" textlink="">
        <xdr:nvSpPr>
          <xdr:cNvPr id="11" name="Line 9"/>
          <xdr:cNvSpPr>
            <a:spLocks noChangeShapeType="1"/>
          </xdr:cNvSpPr>
        </xdr:nvSpPr>
        <xdr:spPr bwMode="auto">
          <a:xfrm>
            <a:off x="1543050" y="76390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0"/>
          <xdr:cNvSpPr>
            <a:spLocks noChangeShapeType="1"/>
          </xdr:cNvSpPr>
        </xdr:nvSpPr>
        <xdr:spPr bwMode="auto">
          <a:xfrm>
            <a:off x="1533525" y="80295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Oval 11"/>
          <xdr:cNvSpPr>
            <a:spLocks noChangeArrowheads="1"/>
          </xdr:cNvSpPr>
        </xdr:nvSpPr>
        <xdr:spPr bwMode="auto">
          <a:xfrm>
            <a:off x="1819275" y="8010525"/>
            <a:ext cx="76200" cy="57150"/>
          </a:xfrm>
          <a:prstGeom prst="ellipse">
            <a:avLst/>
          </a:prstGeom>
          <a:solidFill>
            <a:srgbClr val="FFFFFF"/>
          </a:solidFill>
          <a:ln w="9525">
            <a:solidFill>
              <a:srgbClr val="000000"/>
            </a:solidFill>
            <a:round/>
            <a:headEnd/>
            <a:tailEnd/>
          </a:ln>
        </xdr:spPr>
      </xdr:sp>
      <xdr:sp macro="" textlink="">
        <xdr:nvSpPr>
          <xdr:cNvPr id="14" name="Oval 12"/>
          <xdr:cNvSpPr>
            <a:spLocks noChangeArrowheads="1"/>
          </xdr:cNvSpPr>
        </xdr:nvSpPr>
        <xdr:spPr bwMode="auto">
          <a:xfrm>
            <a:off x="1590675" y="6896100"/>
            <a:ext cx="76200" cy="57150"/>
          </a:xfrm>
          <a:prstGeom prst="ellipse">
            <a:avLst/>
          </a:prstGeom>
          <a:solidFill>
            <a:srgbClr val="FFFFFF"/>
          </a:solidFill>
          <a:ln w="9525">
            <a:solidFill>
              <a:srgbClr val="000000"/>
            </a:solidFill>
            <a:round/>
            <a:headEnd/>
            <a:tailEnd/>
          </a:ln>
        </xdr:spPr>
      </xdr:sp>
      <xdr:sp macro="" textlink="">
        <xdr:nvSpPr>
          <xdr:cNvPr id="15" name="Oval 13"/>
          <xdr:cNvSpPr>
            <a:spLocks noChangeArrowheads="1"/>
          </xdr:cNvSpPr>
        </xdr:nvSpPr>
        <xdr:spPr bwMode="auto">
          <a:xfrm>
            <a:off x="1762125" y="6943725"/>
            <a:ext cx="76200" cy="57150"/>
          </a:xfrm>
          <a:prstGeom prst="ellipse">
            <a:avLst/>
          </a:prstGeom>
          <a:solidFill>
            <a:srgbClr val="FFFFFF"/>
          </a:solidFill>
          <a:ln w="9525">
            <a:solidFill>
              <a:srgbClr val="000000"/>
            </a:solidFill>
            <a:round/>
            <a:headEnd/>
            <a:tailEnd/>
          </a:ln>
        </xdr:spPr>
      </xdr:sp>
      <xdr:sp macro="" textlink="">
        <xdr:nvSpPr>
          <xdr:cNvPr id="16" name="Line 14"/>
          <xdr:cNvSpPr>
            <a:spLocks noChangeShapeType="1"/>
          </xdr:cNvSpPr>
        </xdr:nvSpPr>
        <xdr:spPr bwMode="auto">
          <a:xfrm>
            <a:off x="1504950" y="9363075"/>
            <a:ext cx="414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15"/>
          <xdr:cNvSpPr>
            <a:spLocks noChangeShapeType="1"/>
          </xdr:cNvSpPr>
        </xdr:nvSpPr>
        <xdr:spPr bwMode="auto">
          <a:xfrm>
            <a:off x="1762125" y="6915150"/>
            <a:ext cx="3838575" cy="0"/>
          </a:xfrm>
          <a:prstGeom prst="line">
            <a:avLst/>
          </a:prstGeom>
          <a:noFill/>
          <a:ln w="19050">
            <a:solidFill>
              <a:srgbClr val="FF000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16"/>
          <xdr:cNvSpPr>
            <a:spLocks noChangeShapeType="1"/>
          </xdr:cNvSpPr>
        </xdr:nvSpPr>
        <xdr:spPr bwMode="auto">
          <a:xfrm>
            <a:off x="1524000" y="6096000"/>
            <a:ext cx="3933825" cy="45720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9" name="Line 17"/>
          <xdr:cNvSpPr>
            <a:spLocks noChangeShapeType="1"/>
          </xdr:cNvSpPr>
        </xdr:nvSpPr>
        <xdr:spPr bwMode="auto">
          <a:xfrm flipV="1">
            <a:off x="1743075" y="6543675"/>
            <a:ext cx="3790950" cy="37147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18"/>
          <xdr:cNvSpPr>
            <a:spLocks noChangeShapeType="1"/>
          </xdr:cNvSpPr>
        </xdr:nvSpPr>
        <xdr:spPr bwMode="auto">
          <a:xfrm>
            <a:off x="1743075" y="6915150"/>
            <a:ext cx="3867150" cy="100965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sp macro="" textlink="">
        <xdr:nvSpPr>
          <xdr:cNvPr id="21" name="Line 19"/>
          <xdr:cNvSpPr>
            <a:spLocks noChangeShapeType="1"/>
          </xdr:cNvSpPr>
        </xdr:nvSpPr>
        <xdr:spPr bwMode="auto">
          <a:xfrm flipH="1">
            <a:off x="1609725" y="7915275"/>
            <a:ext cx="3971925" cy="9048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22" name="Line 20"/>
          <xdr:cNvSpPr>
            <a:spLocks noChangeShapeType="1"/>
          </xdr:cNvSpPr>
        </xdr:nvSpPr>
        <xdr:spPr bwMode="auto">
          <a:xfrm flipH="1">
            <a:off x="1638300" y="7924800"/>
            <a:ext cx="441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1"/>
          <xdr:cNvSpPr>
            <a:spLocks noChangeShapeType="1"/>
          </xdr:cNvSpPr>
        </xdr:nvSpPr>
        <xdr:spPr bwMode="auto">
          <a:xfrm>
            <a:off x="5610225" y="6524625"/>
            <a:ext cx="0" cy="138112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24" name="Line 22"/>
          <xdr:cNvSpPr>
            <a:spLocks noChangeShapeType="1"/>
          </xdr:cNvSpPr>
        </xdr:nvSpPr>
        <xdr:spPr bwMode="auto">
          <a:xfrm flipH="1">
            <a:off x="6172200" y="8096250"/>
            <a:ext cx="2667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5" name="Line 23"/>
          <xdr:cNvSpPr>
            <a:spLocks noChangeShapeType="1"/>
          </xdr:cNvSpPr>
        </xdr:nvSpPr>
        <xdr:spPr bwMode="auto">
          <a:xfrm flipH="1">
            <a:off x="5772150" y="6600825"/>
            <a:ext cx="638175"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6" name="Line 24"/>
          <xdr:cNvSpPr>
            <a:spLocks noChangeShapeType="1"/>
          </xdr:cNvSpPr>
        </xdr:nvSpPr>
        <xdr:spPr bwMode="auto">
          <a:xfrm>
            <a:off x="1695450" y="6543675"/>
            <a:ext cx="42957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25"/>
          <xdr:cNvSpPr>
            <a:spLocks noChangeShapeType="1"/>
          </xdr:cNvSpPr>
        </xdr:nvSpPr>
        <xdr:spPr bwMode="auto">
          <a:xfrm flipV="1">
            <a:off x="1123950" y="7886700"/>
            <a:ext cx="0" cy="100965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8" name="Line 26"/>
          <xdr:cNvSpPr>
            <a:spLocks noChangeShapeType="1"/>
          </xdr:cNvSpPr>
        </xdr:nvSpPr>
        <xdr:spPr bwMode="auto">
          <a:xfrm>
            <a:off x="1114425" y="6915150"/>
            <a:ext cx="0" cy="9810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 name="Text Box 30"/>
          <xdr:cNvSpPr txBox="1">
            <a:spLocks noChangeArrowheads="1"/>
          </xdr:cNvSpPr>
        </xdr:nvSpPr>
        <xdr:spPr bwMode="auto">
          <a:xfrm>
            <a:off x="6467475" y="6400800"/>
            <a:ext cx="19526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Hälfte zwischen Augenhöhe und oberster sichtbarer Höhe</a:t>
            </a:r>
            <a:endParaRPr lang="de-DE"/>
          </a:p>
        </xdr:txBody>
      </xdr:sp>
      <xdr:sp macro="" textlink="">
        <xdr:nvSpPr>
          <xdr:cNvPr id="30" name="Text Box 31"/>
          <xdr:cNvSpPr txBox="1">
            <a:spLocks noChangeArrowheads="1"/>
          </xdr:cNvSpPr>
        </xdr:nvSpPr>
        <xdr:spPr bwMode="auto">
          <a:xfrm>
            <a:off x="6515100" y="7991475"/>
            <a:ext cx="19526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Hälfte zwischen Augenhöhe und unterster sichtbarer Höhe</a:t>
            </a:r>
            <a:endParaRPr lang="de-DE"/>
          </a:p>
        </xdr:txBody>
      </xdr:sp>
    </xdr:grpSp>
    <xdr:clientData/>
  </xdr:twoCellAnchor>
  <xdr:twoCellAnchor>
    <xdr:from>
      <xdr:col>9</xdr:col>
      <xdr:colOff>571500</xdr:colOff>
      <xdr:row>23</xdr:row>
      <xdr:rowOff>9525</xdr:rowOff>
    </xdr:from>
    <xdr:to>
      <xdr:col>16</xdr:col>
      <xdr:colOff>257175</xdr:colOff>
      <xdr:row>39</xdr:row>
      <xdr:rowOff>57150</xdr:rowOff>
    </xdr:to>
    <xdr:grpSp>
      <xdr:nvGrpSpPr>
        <xdr:cNvPr id="31" name="Group 54"/>
        <xdr:cNvGrpSpPr>
          <a:grpSpLocks/>
        </xdr:cNvGrpSpPr>
      </xdr:nvGrpSpPr>
      <xdr:grpSpPr bwMode="auto">
        <a:xfrm>
          <a:off x="9467850" y="3838575"/>
          <a:ext cx="5019675" cy="2676525"/>
          <a:chOff x="77" y="1051"/>
          <a:chExt cx="527" cy="281"/>
        </a:xfrm>
      </xdr:grpSpPr>
      <xdr:sp macro="" textlink="">
        <xdr:nvSpPr>
          <xdr:cNvPr id="32" name="Line 33"/>
          <xdr:cNvSpPr>
            <a:spLocks noChangeShapeType="1"/>
          </xdr:cNvSpPr>
        </xdr:nvSpPr>
        <xdr:spPr bwMode="auto">
          <a:xfrm>
            <a:off x="604" y="1051"/>
            <a:ext cx="0" cy="2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34"/>
          <xdr:cNvSpPr>
            <a:spLocks noChangeShapeType="1"/>
          </xdr:cNvSpPr>
        </xdr:nvSpPr>
        <xdr:spPr bwMode="auto">
          <a:xfrm flipH="1">
            <a:off x="102" y="1329"/>
            <a:ext cx="50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Oval 35"/>
          <xdr:cNvSpPr>
            <a:spLocks noChangeArrowheads="1"/>
          </xdr:cNvSpPr>
        </xdr:nvSpPr>
        <xdr:spPr bwMode="auto">
          <a:xfrm>
            <a:off x="168" y="1081"/>
            <a:ext cx="33" cy="58"/>
          </a:xfrm>
          <a:prstGeom prst="ellipse">
            <a:avLst/>
          </a:prstGeom>
          <a:solidFill>
            <a:srgbClr val="FFFFFF"/>
          </a:solidFill>
          <a:ln w="9525">
            <a:solidFill>
              <a:srgbClr val="000000"/>
            </a:solidFill>
            <a:round/>
            <a:headEnd/>
            <a:tailEnd/>
          </a:ln>
        </xdr:spPr>
      </xdr:sp>
      <xdr:sp macro="" textlink="">
        <xdr:nvSpPr>
          <xdr:cNvPr id="35" name="Oval 36"/>
          <xdr:cNvSpPr>
            <a:spLocks noChangeArrowheads="1"/>
          </xdr:cNvSpPr>
        </xdr:nvSpPr>
        <xdr:spPr bwMode="auto">
          <a:xfrm>
            <a:off x="186" y="1101"/>
            <a:ext cx="8" cy="8"/>
          </a:xfrm>
          <a:prstGeom prst="ellipse">
            <a:avLst/>
          </a:prstGeom>
          <a:solidFill>
            <a:srgbClr val="FFFFFF"/>
          </a:solidFill>
          <a:ln w="9525">
            <a:solidFill>
              <a:srgbClr val="000000"/>
            </a:solidFill>
            <a:round/>
            <a:headEnd/>
            <a:tailEnd/>
          </a:ln>
        </xdr:spPr>
      </xdr:sp>
      <xdr:sp macro="" textlink="">
        <xdr:nvSpPr>
          <xdr:cNvPr id="36" name="Line 38"/>
          <xdr:cNvSpPr>
            <a:spLocks noChangeShapeType="1"/>
          </xdr:cNvSpPr>
        </xdr:nvSpPr>
        <xdr:spPr bwMode="auto">
          <a:xfrm>
            <a:off x="595" y="1131"/>
            <a:ext cx="0" cy="48"/>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37" name="Line 39"/>
          <xdr:cNvSpPr>
            <a:spLocks noChangeShapeType="1"/>
          </xdr:cNvSpPr>
        </xdr:nvSpPr>
        <xdr:spPr bwMode="auto">
          <a:xfrm>
            <a:off x="191" y="1105"/>
            <a:ext cx="402" cy="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40"/>
          <xdr:cNvSpPr>
            <a:spLocks noChangeShapeType="1"/>
          </xdr:cNvSpPr>
        </xdr:nvSpPr>
        <xdr:spPr bwMode="auto">
          <a:xfrm flipH="1">
            <a:off x="187" y="1178"/>
            <a:ext cx="41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41"/>
          <xdr:cNvSpPr>
            <a:spLocks noChangeShapeType="1"/>
          </xdr:cNvSpPr>
        </xdr:nvSpPr>
        <xdr:spPr bwMode="auto">
          <a:xfrm flipH="1">
            <a:off x="192" y="1178"/>
            <a:ext cx="405" cy="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42"/>
          <xdr:cNvSpPr>
            <a:spLocks noChangeShapeType="1"/>
          </xdr:cNvSpPr>
        </xdr:nvSpPr>
        <xdr:spPr bwMode="auto">
          <a:xfrm>
            <a:off x="145" y="1104"/>
            <a:ext cx="0" cy="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43"/>
          <xdr:cNvSpPr>
            <a:spLocks noChangeShapeType="1"/>
          </xdr:cNvSpPr>
        </xdr:nvSpPr>
        <xdr:spPr bwMode="auto">
          <a:xfrm>
            <a:off x="153" y="1177"/>
            <a:ext cx="0" cy="15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44"/>
          <xdr:cNvSpPr>
            <a:spLocks noChangeShapeType="1"/>
          </xdr:cNvSpPr>
        </xdr:nvSpPr>
        <xdr:spPr bwMode="auto">
          <a:xfrm>
            <a:off x="164" y="1104"/>
            <a:ext cx="0" cy="7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3" name="Line 45"/>
          <xdr:cNvSpPr>
            <a:spLocks noChangeShapeType="1"/>
          </xdr:cNvSpPr>
        </xdr:nvSpPr>
        <xdr:spPr bwMode="auto">
          <a:xfrm>
            <a:off x="164" y="1180"/>
            <a:ext cx="0" cy="7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4" name="Line 46"/>
          <xdr:cNvSpPr>
            <a:spLocks noChangeShapeType="1"/>
          </xdr:cNvSpPr>
        </xdr:nvSpPr>
        <xdr:spPr bwMode="auto">
          <a:xfrm>
            <a:off x="191" y="1104"/>
            <a:ext cx="404" cy="28"/>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45" name="Line 47"/>
          <xdr:cNvSpPr>
            <a:spLocks noChangeShapeType="1"/>
          </xdr:cNvSpPr>
        </xdr:nvSpPr>
        <xdr:spPr bwMode="auto">
          <a:xfrm flipH="1">
            <a:off x="186" y="1132"/>
            <a:ext cx="408" cy="26"/>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46" name="Line 48"/>
          <xdr:cNvSpPr>
            <a:spLocks noChangeShapeType="1"/>
          </xdr:cNvSpPr>
        </xdr:nvSpPr>
        <xdr:spPr bwMode="auto">
          <a:xfrm flipH="1">
            <a:off x="202" y="1131"/>
            <a:ext cx="393" cy="0"/>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47" name="Line 49"/>
          <xdr:cNvSpPr>
            <a:spLocks noChangeShapeType="1"/>
          </xdr:cNvSpPr>
        </xdr:nvSpPr>
        <xdr:spPr bwMode="auto">
          <a:xfrm>
            <a:off x="77" y="1105"/>
            <a:ext cx="0" cy="227"/>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48" name="Line 51"/>
          <xdr:cNvSpPr>
            <a:spLocks noChangeShapeType="1"/>
          </xdr:cNvSpPr>
        </xdr:nvSpPr>
        <xdr:spPr bwMode="auto">
          <a:xfrm>
            <a:off x="92" y="1132"/>
            <a:ext cx="0" cy="200"/>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49" name="Line 52"/>
          <xdr:cNvSpPr>
            <a:spLocks noChangeShapeType="1"/>
          </xdr:cNvSpPr>
        </xdr:nvSpPr>
        <xdr:spPr bwMode="auto">
          <a:xfrm>
            <a:off x="107" y="1098"/>
            <a:ext cx="0" cy="2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50" name="Line 53"/>
          <xdr:cNvSpPr>
            <a:spLocks noChangeShapeType="1"/>
          </xdr:cNvSpPr>
        </xdr:nvSpPr>
        <xdr:spPr bwMode="auto">
          <a:xfrm>
            <a:off x="107" y="1132"/>
            <a:ext cx="0" cy="2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733425</xdr:colOff>
      <xdr:row>67</xdr:row>
      <xdr:rowOff>7939</xdr:rowOff>
    </xdr:from>
    <xdr:to>
      <xdr:col>13</xdr:col>
      <xdr:colOff>161925</xdr:colOff>
      <xdr:row>84</xdr:row>
      <xdr:rowOff>1589</xdr:rowOff>
    </xdr:to>
    <xdr:grpSp>
      <xdr:nvGrpSpPr>
        <xdr:cNvPr id="413" name="Gruppieren 412"/>
        <xdr:cNvGrpSpPr/>
      </xdr:nvGrpSpPr>
      <xdr:grpSpPr>
        <a:xfrm>
          <a:off x="6581775" y="10999789"/>
          <a:ext cx="5524500" cy="2746375"/>
          <a:chOff x="5184321" y="4350204"/>
          <a:chExt cx="5524500" cy="2823482"/>
        </a:xfrm>
      </xdr:grpSpPr>
      <xdr:sp macro="" textlink="">
        <xdr:nvSpPr>
          <xdr:cNvPr id="414" name="Line 1"/>
          <xdr:cNvSpPr>
            <a:spLocks noChangeShapeType="1"/>
          </xdr:cNvSpPr>
        </xdr:nvSpPr>
        <xdr:spPr bwMode="auto">
          <a:xfrm>
            <a:off x="5517696" y="7164161"/>
            <a:ext cx="2905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5" name="Line 3"/>
          <xdr:cNvSpPr>
            <a:spLocks noChangeShapeType="1"/>
          </xdr:cNvSpPr>
        </xdr:nvSpPr>
        <xdr:spPr bwMode="auto">
          <a:xfrm flipV="1">
            <a:off x="5517696" y="4350204"/>
            <a:ext cx="0" cy="28139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6" name="Line 4"/>
          <xdr:cNvSpPr>
            <a:spLocks noChangeShapeType="1"/>
          </xdr:cNvSpPr>
        </xdr:nvSpPr>
        <xdr:spPr bwMode="auto">
          <a:xfrm flipH="1">
            <a:off x="5451021" y="5320393"/>
            <a:ext cx="9525" cy="960664"/>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7" name="Line 15"/>
          <xdr:cNvSpPr>
            <a:spLocks noChangeShapeType="1"/>
          </xdr:cNvSpPr>
        </xdr:nvSpPr>
        <xdr:spPr bwMode="auto">
          <a:xfrm>
            <a:off x="5222421" y="5071382"/>
            <a:ext cx="284797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8" name="Line 16"/>
          <xdr:cNvSpPr>
            <a:spLocks noChangeShapeType="1"/>
          </xdr:cNvSpPr>
        </xdr:nvSpPr>
        <xdr:spPr bwMode="auto">
          <a:xfrm flipH="1">
            <a:off x="5212896" y="5570764"/>
            <a:ext cx="27908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9" name="Line 17"/>
          <xdr:cNvSpPr>
            <a:spLocks noChangeShapeType="1"/>
          </xdr:cNvSpPr>
        </xdr:nvSpPr>
        <xdr:spPr bwMode="auto">
          <a:xfrm flipH="1">
            <a:off x="5184321" y="6290582"/>
            <a:ext cx="258127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0" name="Line 18"/>
          <xdr:cNvSpPr>
            <a:spLocks noChangeShapeType="1"/>
          </xdr:cNvSpPr>
        </xdr:nvSpPr>
        <xdr:spPr bwMode="auto">
          <a:xfrm flipH="1">
            <a:off x="5517696" y="5080907"/>
            <a:ext cx="2552700" cy="249011"/>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1" name="Line 19"/>
          <xdr:cNvSpPr>
            <a:spLocks noChangeShapeType="1"/>
          </xdr:cNvSpPr>
        </xdr:nvSpPr>
        <xdr:spPr bwMode="auto">
          <a:xfrm>
            <a:off x="5517696" y="5339443"/>
            <a:ext cx="2476500" cy="231321"/>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2" name="Line 20"/>
          <xdr:cNvSpPr>
            <a:spLocks noChangeShapeType="1"/>
          </xdr:cNvSpPr>
        </xdr:nvSpPr>
        <xdr:spPr bwMode="auto">
          <a:xfrm>
            <a:off x="5270046" y="5329918"/>
            <a:ext cx="1400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3" name="Line 21"/>
          <xdr:cNvSpPr>
            <a:spLocks noChangeShapeType="1"/>
          </xdr:cNvSpPr>
        </xdr:nvSpPr>
        <xdr:spPr bwMode="auto">
          <a:xfrm>
            <a:off x="5308146" y="6636204"/>
            <a:ext cx="2743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4" name="Line 22"/>
          <xdr:cNvSpPr>
            <a:spLocks noChangeShapeType="1"/>
          </xdr:cNvSpPr>
        </xdr:nvSpPr>
        <xdr:spPr bwMode="auto">
          <a:xfrm flipH="1">
            <a:off x="5527221" y="5580289"/>
            <a:ext cx="2457450" cy="710293"/>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5" name="Line 23"/>
          <xdr:cNvSpPr>
            <a:spLocks noChangeShapeType="1"/>
          </xdr:cNvSpPr>
        </xdr:nvSpPr>
        <xdr:spPr bwMode="auto">
          <a:xfrm>
            <a:off x="5508171" y="6300107"/>
            <a:ext cx="2505075" cy="864054"/>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26" name="Group 14"/>
          <xdr:cNvGrpSpPr>
            <a:grpSpLocks/>
          </xdr:cNvGrpSpPr>
        </xdr:nvGrpSpPr>
        <xdr:grpSpPr bwMode="auto">
          <a:xfrm>
            <a:off x="8003721" y="5099957"/>
            <a:ext cx="571500" cy="2073729"/>
            <a:chOff x="312" y="111"/>
            <a:chExt cx="60" cy="216"/>
          </a:xfrm>
        </xdr:grpSpPr>
        <xdr:sp macro="" textlink="">
          <xdr:nvSpPr>
            <xdr:cNvPr id="440" name="Rectangle 5"/>
            <xdr:cNvSpPr>
              <a:spLocks noChangeArrowheads="1"/>
            </xdr:cNvSpPr>
          </xdr:nvSpPr>
          <xdr:spPr bwMode="auto">
            <a:xfrm>
              <a:off x="327" y="194"/>
              <a:ext cx="31" cy="5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AutoShape 6"/>
            <xdr:cNvSpPr>
              <a:spLocks noChangeArrowheads="1"/>
            </xdr:cNvSpPr>
          </xdr:nvSpPr>
          <xdr:spPr bwMode="auto">
            <a:xfrm rot="10800000">
              <a:off x="312" y="247"/>
              <a:ext cx="60" cy="4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80 w 21600"/>
                <a:gd name="T13" fmla="*/ 4320 h 21600"/>
                <a:gd name="T14" fmla="*/ 1728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2" name="Oval 7"/>
            <xdr:cNvSpPr>
              <a:spLocks noChangeArrowheads="1"/>
            </xdr:cNvSpPr>
          </xdr:nvSpPr>
          <xdr:spPr bwMode="auto">
            <a:xfrm>
              <a:off x="323" y="143"/>
              <a:ext cx="34" cy="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3" name="Rectangle 8"/>
            <xdr:cNvSpPr>
              <a:spLocks noChangeArrowheads="1"/>
            </xdr:cNvSpPr>
          </xdr:nvSpPr>
          <xdr:spPr bwMode="auto">
            <a:xfrm>
              <a:off x="335" y="287"/>
              <a:ext cx="14" cy="3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4" name="Rectangle 9"/>
            <xdr:cNvSpPr>
              <a:spLocks noChangeArrowheads="1"/>
            </xdr:cNvSpPr>
          </xdr:nvSpPr>
          <xdr:spPr bwMode="auto">
            <a:xfrm>
              <a:off x="314" y="317"/>
              <a:ext cx="35" cy="1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5" name="AutoShape 11"/>
            <xdr:cNvSpPr>
              <a:spLocks noChangeArrowheads="1"/>
            </xdr:cNvSpPr>
          </xdr:nvSpPr>
          <xdr:spPr bwMode="auto">
            <a:xfrm>
              <a:off x="323" y="111"/>
              <a:ext cx="35" cy="39"/>
            </a:xfrm>
            <a:prstGeom prst="pentagon">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6" name="Oval 12"/>
            <xdr:cNvSpPr>
              <a:spLocks noChangeArrowheads="1"/>
            </xdr:cNvSpPr>
          </xdr:nvSpPr>
          <xdr:spPr bwMode="auto">
            <a:xfrm>
              <a:off x="330" y="158"/>
              <a:ext cx="8" cy="8"/>
            </a:xfrm>
            <a:prstGeom prst="ellipse">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27" name="Line 20"/>
          <xdr:cNvSpPr>
            <a:spLocks noChangeShapeType="1"/>
          </xdr:cNvSpPr>
        </xdr:nvSpPr>
        <xdr:spPr bwMode="auto">
          <a:xfrm>
            <a:off x="8156121" y="6482443"/>
            <a:ext cx="1400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28" name="Group 14"/>
          <xdr:cNvGrpSpPr>
            <a:grpSpLocks/>
          </xdr:cNvGrpSpPr>
        </xdr:nvGrpSpPr>
        <xdr:grpSpPr bwMode="auto">
          <a:xfrm>
            <a:off x="10137321" y="5090432"/>
            <a:ext cx="571500" cy="2073729"/>
            <a:chOff x="312" y="111"/>
            <a:chExt cx="60" cy="216"/>
          </a:xfrm>
        </xdr:grpSpPr>
        <xdr:sp macro="" textlink="">
          <xdr:nvSpPr>
            <xdr:cNvPr id="433" name="Rectangle 5"/>
            <xdr:cNvSpPr>
              <a:spLocks noChangeArrowheads="1"/>
            </xdr:cNvSpPr>
          </xdr:nvSpPr>
          <xdr:spPr bwMode="auto">
            <a:xfrm>
              <a:off x="327" y="194"/>
              <a:ext cx="31" cy="5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4" name="AutoShape 6"/>
            <xdr:cNvSpPr>
              <a:spLocks noChangeArrowheads="1"/>
            </xdr:cNvSpPr>
          </xdr:nvSpPr>
          <xdr:spPr bwMode="auto">
            <a:xfrm rot="10800000">
              <a:off x="312" y="247"/>
              <a:ext cx="60" cy="4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80 w 21600"/>
                <a:gd name="T13" fmla="*/ 4320 h 21600"/>
                <a:gd name="T14" fmla="*/ 1728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5" name="Oval 7"/>
            <xdr:cNvSpPr>
              <a:spLocks noChangeArrowheads="1"/>
            </xdr:cNvSpPr>
          </xdr:nvSpPr>
          <xdr:spPr bwMode="auto">
            <a:xfrm>
              <a:off x="323" y="143"/>
              <a:ext cx="34" cy="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6" name="Rectangle 8"/>
            <xdr:cNvSpPr>
              <a:spLocks noChangeArrowheads="1"/>
            </xdr:cNvSpPr>
          </xdr:nvSpPr>
          <xdr:spPr bwMode="auto">
            <a:xfrm>
              <a:off x="335" y="287"/>
              <a:ext cx="14" cy="3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7" name="Rectangle 9"/>
            <xdr:cNvSpPr>
              <a:spLocks noChangeArrowheads="1"/>
            </xdr:cNvSpPr>
          </xdr:nvSpPr>
          <xdr:spPr bwMode="auto">
            <a:xfrm>
              <a:off x="314" y="317"/>
              <a:ext cx="35" cy="1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8" name="AutoShape 11"/>
            <xdr:cNvSpPr>
              <a:spLocks noChangeArrowheads="1"/>
            </xdr:cNvSpPr>
          </xdr:nvSpPr>
          <xdr:spPr bwMode="auto">
            <a:xfrm>
              <a:off x="323" y="111"/>
              <a:ext cx="35" cy="39"/>
            </a:xfrm>
            <a:prstGeom prst="pentagon">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12"/>
            <xdr:cNvSpPr>
              <a:spLocks noChangeArrowheads="1"/>
            </xdr:cNvSpPr>
          </xdr:nvSpPr>
          <xdr:spPr bwMode="auto">
            <a:xfrm>
              <a:off x="330" y="158"/>
              <a:ext cx="8" cy="8"/>
            </a:xfrm>
            <a:prstGeom prst="ellipse">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29" name="Line 1962"/>
          <xdr:cNvSpPr>
            <a:spLocks noChangeShapeType="1"/>
          </xdr:cNvSpPr>
        </xdr:nvSpPr>
        <xdr:spPr bwMode="auto">
          <a:xfrm flipH="1">
            <a:off x="5508171" y="5080907"/>
            <a:ext cx="4886325" cy="2394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0" name="Line 1963"/>
          <xdr:cNvSpPr>
            <a:spLocks noChangeShapeType="1"/>
          </xdr:cNvSpPr>
        </xdr:nvSpPr>
        <xdr:spPr bwMode="auto">
          <a:xfrm flipH="1" flipV="1">
            <a:off x="5517696" y="5339443"/>
            <a:ext cx="4743450" cy="2408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1" name="Line 1964"/>
          <xdr:cNvSpPr>
            <a:spLocks noChangeShapeType="1"/>
          </xdr:cNvSpPr>
        </xdr:nvSpPr>
        <xdr:spPr bwMode="auto">
          <a:xfrm flipH="1" flipV="1">
            <a:off x="5517696" y="6290582"/>
            <a:ext cx="4629150" cy="883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2" name="Line 1965"/>
          <xdr:cNvSpPr>
            <a:spLocks noChangeShapeType="1"/>
          </xdr:cNvSpPr>
        </xdr:nvSpPr>
        <xdr:spPr bwMode="auto">
          <a:xfrm flipV="1">
            <a:off x="5517696" y="5599339"/>
            <a:ext cx="4733925" cy="6912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xdr:col>
      <xdr:colOff>576036</xdr:colOff>
      <xdr:row>41</xdr:row>
      <xdr:rowOff>47171</xdr:rowOff>
    </xdr:from>
    <xdr:to>
      <xdr:col>12</xdr:col>
      <xdr:colOff>585561</xdr:colOff>
      <xdr:row>58</xdr:row>
      <xdr:rowOff>77107</xdr:rowOff>
    </xdr:to>
    <xdr:grpSp>
      <xdr:nvGrpSpPr>
        <xdr:cNvPr id="551" name="Gruppieren 550"/>
        <xdr:cNvGrpSpPr/>
      </xdr:nvGrpSpPr>
      <xdr:grpSpPr>
        <a:xfrm>
          <a:off x="7186386" y="6828971"/>
          <a:ext cx="4581525" cy="2782661"/>
          <a:chOff x="5250996" y="459921"/>
          <a:chExt cx="4581525" cy="2805793"/>
        </a:xfrm>
      </xdr:grpSpPr>
      <xdr:sp macro="" textlink="">
        <xdr:nvSpPr>
          <xdr:cNvPr id="552" name="Line 1"/>
          <xdr:cNvSpPr>
            <a:spLocks noChangeShapeType="1"/>
          </xdr:cNvSpPr>
        </xdr:nvSpPr>
        <xdr:spPr bwMode="auto">
          <a:xfrm>
            <a:off x="5555796" y="3265714"/>
            <a:ext cx="2905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53" name="Gruppieren 552"/>
          <xdr:cNvGrpSpPr/>
        </xdr:nvGrpSpPr>
        <xdr:grpSpPr>
          <a:xfrm>
            <a:off x="5250996" y="459921"/>
            <a:ext cx="4581525" cy="2805793"/>
            <a:chOff x="5250996" y="459921"/>
            <a:chExt cx="4581525" cy="2805793"/>
          </a:xfrm>
        </xdr:grpSpPr>
        <xdr:grpSp>
          <xdr:nvGrpSpPr>
            <xdr:cNvPr id="554" name="Group 14"/>
            <xdr:cNvGrpSpPr>
              <a:grpSpLocks/>
            </xdr:cNvGrpSpPr>
          </xdr:nvGrpSpPr>
          <xdr:grpSpPr bwMode="auto">
            <a:xfrm>
              <a:off x="7870371" y="1181100"/>
              <a:ext cx="571500" cy="2073729"/>
              <a:chOff x="312" y="111"/>
              <a:chExt cx="60" cy="216"/>
            </a:xfrm>
          </xdr:grpSpPr>
          <xdr:sp macro="" textlink="">
            <xdr:nvSpPr>
              <xdr:cNvPr id="570" name="Rectangle 5"/>
              <xdr:cNvSpPr>
                <a:spLocks noChangeArrowheads="1"/>
              </xdr:cNvSpPr>
            </xdr:nvSpPr>
            <xdr:spPr bwMode="auto">
              <a:xfrm>
                <a:off x="327" y="194"/>
                <a:ext cx="31" cy="5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6"/>
              <xdr:cNvSpPr>
                <a:spLocks noChangeArrowheads="1"/>
              </xdr:cNvSpPr>
            </xdr:nvSpPr>
            <xdr:spPr bwMode="auto">
              <a:xfrm rot="10800000">
                <a:off x="312" y="247"/>
                <a:ext cx="60" cy="4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80 w 21600"/>
                  <a:gd name="T13" fmla="*/ 4320 h 21600"/>
                  <a:gd name="T14" fmla="*/ 1728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Oval 7"/>
              <xdr:cNvSpPr>
                <a:spLocks noChangeArrowheads="1"/>
              </xdr:cNvSpPr>
            </xdr:nvSpPr>
            <xdr:spPr bwMode="auto">
              <a:xfrm>
                <a:off x="323" y="143"/>
                <a:ext cx="34" cy="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Rectangle 8"/>
              <xdr:cNvSpPr>
                <a:spLocks noChangeArrowheads="1"/>
              </xdr:cNvSpPr>
            </xdr:nvSpPr>
            <xdr:spPr bwMode="auto">
              <a:xfrm>
                <a:off x="335" y="287"/>
                <a:ext cx="14" cy="3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Rectangle 9"/>
              <xdr:cNvSpPr>
                <a:spLocks noChangeArrowheads="1"/>
              </xdr:cNvSpPr>
            </xdr:nvSpPr>
            <xdr:spPr bwMode="auto">
              <a:xfrm>
                <a:off x="314" y="317"/>
                <a:ext cx="35" cy="1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AutoShape 11"/>
              <xdr:cNvSpPr>
                <a:spLocks noChangeArrowheads="1"/>
              </xdr:cNvSpPr>
            </xdr:nvSpPr>
            <xdr:spPr bwMode="auto">
              <a:xfrm>
                <a:off x="323" y="111"/>
                <a:ext cx="35" cy="39"/>
              </a:xfrm>
              <a:prstGeom prst="pentagon">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Oval 12"/>
              <xdr:cNvSpPr>
                <a:spLocks noChangeArrowheads="1"/>
              </xdr:cNvSpPr>
            </xdr:nvSpPr>
            <xdr:spPr bwMode="auto">
              <a:xfrm>
                <a:off x="330" y="158"/>
                <a:ext cx="8" cy="8"/>
              </a:xfrm>
              <a:prstGeom prst="ellipse">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55" name="Line 3"/>
            <xdr:cNvSpPr>
              <a:spLocks noChangeShapeType="1"/>
            </xdr:cNvSpPr>
          </xdr:nvSpPr>
          <xdr:spPr bwMode="auto">
            <a:xfrm flipV="1">
              <a:off x="5555796" y="459921"/>
              <a:ext cx="0" cy="28057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4"/>
            <xdr:cNvSpPr>
              <a:spLocks noChangeShapeType="1"/>
            </xdr:cNvSpPr>
          </xdr:nvSpPr>
          <xdr:spPr bwMode="auto">
            <a:xfrm>
              <a:off x="5498646" y="1420586"/>
              <a:ext cx="9525" cy="778328"/>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7" name="Line 15"/>
            <xdr:cNvSpPr>
              <a:spLocks noChangeShapeType="1"/>
            </xdr:cNvSpPr>
          </xdr:nvSpPr>
          <xdr:spPr bwMode="auto">
            <a:xfrm>
              <a:off x="5260521" y="1181100"/>
              <a:ext cx="284797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Line 16"/>
            <xdr:cNvSpPr>
              <a:spLocks noChangeShapeType="1"/>
            </xdr:cNvSpPr>
          </xdr:nvSpPr>
          <xdr:spPr bwMode="auto">
            <a:xfrm flipH="1">
              <a:off x="5250996" y="1680482"/>
              <a:ext cx="27908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Line 17"/>
            <xdr:cNvSpPr>
              <a:spLocks noChangeShapeType="1"/>
            </xdr:cNvSpPr>
          </xdr:nvSpPr>
          <xdr:spPr bwMode="auto">
            <a:xfrm flipH="1">
              <a:off x="5279571" y="3265714"/>
              <a:ext cx="258127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0" name="Line 18"/>
            <xdr:cNvSpPr>
              <a:spLocks noChangeShapeType="1"/>
            </xdr:cNvSpPr>
          </xdr:nvSpPr>
          <xdr:spPr bwMode="auto">
            <a:xfrm flipH="1">
              <a:off x="5555796" y="1190625"/>
              <a:ext cx="2552700" cy="239486"/>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1" name="Line 19"/>
            <xdr:cNvSpPr>
              <a:spLocks noChangeShapeType="1"/>
            </xdr:cNvSpPr>
          </xdr:nvSpPr>
          <xdr:spPr bwMode="auto">
            <a:xfrm>
              <a:off x="5555796" y="1439636"/>
              <a:ext cx="2476500" cy="240846"/>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2" name="Line 20"/>
            <xdr:cNvSpPr>
              <a:spLocks noChangeShapeType="1"/>
            </xdr:cNvSpPr>
          </xdr:nvSpPr>
          <xdr:spPr bwMode="auto">
            <a:xfrm>
              <a:off x="5308146" y="1430111"/>
              <a:ext cx="1400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Line 21"/>
            <xdr:cNvSpPr>
              <a:spLocks noChangeShapeType="1"/>
            </xdr:cNvSpPr>
          </xdr:nvSpPr>
          <xdr:spPr bwMode="auto">
            <a:xfrm>
              <a:off x="5270046" y="2217964"/>
              <a:ext cx="456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22"/>
            <xdr:cNvSpPr>
              <a:spLocks noChangeShapeType="1"/>
            </xdr:cNvSpPr>
          </xdr:nvSpPr>
          <xdr:spPr bwMode="auto">
            <a:xfrm flipH="1">
              <a:off x="5593896" y="1680482"/>
              <a:ext cx="2390775" cy="566057"/>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23"/>
            <xdr:cNvSpPr>
              <a:spLocks noChangeShapeType="1"/>
            </xdr:cNvSpPr>
          </xdr:nvSpPr>
          <xdr:spPr bwMode="auto">
            <a:xfrm>
              <a:off x="5565321" y="2208439"/>
              <a:ext cx="2295525" cy="653143"/>
            </a:xfrm>
            <a:prstGeom prst="line">
              <a:avLst/>
            </a:prstGeom>
            <a:noFill/>
            <a:ln w="952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Line 3"/>
            <xdr:cNvSpPr>
              <a:spLocks noChangeShapeType="1"/>
            </xdr:cNvSpPr>
          </xdr:nvSpPr>
          <xdr:spPr bwMode="auto">
            <a:xfrm flipV="1">
              <a:off x="8692490" y="1658834"/>
              <a:ext cx="0" cy="1601205"/>
            </a:xfrm>
            <a:prstGeom prst="line">
              <a:avLst/>
            </a:prstGeom>
            <a:ln>
              <a:headEnd/>
              <a:tailEnd/>
            </a:ln>
          </xdr:spPr>
          <xdr:style>
            <a:lnRef idx="2">
              <a:schemeClr val="accent1"/>
            </a:lnRef>
            <a:fillRef idx="0">
              <a:schemeClr val="accent1"/>
            </a:fillRef>
            <a:effectRef idx="1">
              <a:schemeClr val="accent1"/>
            </a:effectRef>
            <a:fontRef idx="minor">
              <a:schemeClr val="tx1"/>
            </a:fontRef>
          </xdr:style>
          <xdr:txBody>
            <a:bodyPr/>
            <a:lstStyle/>
            <a:p>
              <a:endParaRPr lang="de-DE"/>
            </a:p>
          </xdr:txBody>
        </xdr:sp>
        <xdr:sp macro="" textlink="">
          <xdr:nvSpPr>
            <xdr:cNvPr id="567" name="Line 3"/>
            <xdr:cNvSpPr>
              <a:spLocks noChangeShapeType="1"/>
            </xdr:cNvSpPr>
          </xdr:nvSpPr>
          <xdr:spPr bwMode="auto">
            <a:xfrm flipV="1">
              <a:off x="8563469" y="1660854"/>
              <a:ext cx="0" cy="568035"/>
            </a:xfrm>
            <a:prstGeom prst="line">
              <a:avLst/>
            </a:prstGeom>
            <a:ln>
              <a:headEnd/>
              <a:tailEnd/>
            </a:ln>
          </xdr:spPr>
          <xdr:style>
            <a:lnRef idx="3">
              <a:schemeClr val="accent2"/>
            </a:lnRef>
            <a:fillRef idx="0">
              <a:schemeClr val="accent2"/>
            </a:fillRef>
            <a:effectRef idx="2">
              <a:schemeClr val="accent2"/>
            </a:effectRef>
            <a:fontRef idx="minor">
              <a:schemeClr val="tx1"/>
            </a:fontRef>
          </xdr:style>
          <xdr:txBody>
            <a:bodyPr/>
            <a:lstStyle/>
            <a:p>
              <a:endParaRPr lang="de-DE"/>
            </a:p>
          </xdr:txBody>
        </xdr:sp>
        <xdr:sp macro="" textlink="">
          <xdr:nvSpPr>
            <xdr:cNvPr id="568" name="Line 3"/>
            <xdr:cNvSpPr>
              <a:spLocks noChangeShapeType="1"/>
            </xdr:cNvSpPr>
          </xdr:nvSpPr>
          <xdr:spPr bwMode="auto">
            <a:xfrm flipV="1">
              <a:off x="8592044" y="2835025"/>
              <a:ext cx="0" cy="412370"/>
            </a:xfrm>
            <a:prstGeom prst="line">
              <a:avLst/>
            </a:prstGeom>
            <a:ln>
              <a:headEnd/>
              <a:tailEnd/>
            </a:ln>
          </xdr:spPr>
          <xdr:style>
            <a:lnRef idx="3">
              <a:schemeClr val="accent3"/>
            </a:lnRef>
            <a:fillRef idx="0">
              <a:schemeClr val="accent3"/>
            </a:fillRef>
            <a:effectRef idx="2">
              <a:schemeClr val="accent3"/>
            </a:effectRef>
            <a:fontRef idx="minor">
              <a:schemeClr val="tx1"/>
            </a:fontRef>
          </xdr:style>
          <xdr:txBody>
            <a:bodyPr/>
            <a:lstStyle/>
            <a:p>
              <a:endParaRPr lang="de-DE"/>
            </a:p>
          </xdr:txBody>
        </xdr:sp>
        <xdr:sp macro="" textlink="">
          <xdr:nvSpPr>
            <xdr:cNvPr id="569" name="Line 3"/>
            <xdr:cNvSpPr>
              <a:spLocks noChangeShapeType="1"/>
            </xdr:cNvSpPr>
          </xdr:nvSpPr>
          <xdr:spPr bwMode="auto">
            <a:xfrm flipV="1">
              <a:off x="8527967" y="2229509"/>
              <a:ext cx="0" cy="575779"/>
            </a:xfrm>
            <a:prstGeom prst="line">
              <a:avLst/>
            </a:prstGeom>
            <a:ln>
              <a:headEnd/>
              <a:tailEnd/>
            </a:ln>
          </xdr:spPr>
          <xdr:style>
            <a:lnRef idx="3">
              <a:schemeClr val="accent2"/>
            </a:lnRef>
            <a:fillRef idx="0">
              <a:schemeClr val="accent2"/>
            </a:fillRef>
            <a:effectRef idx="2">
              <a:schemeClr val="accent2"/>
            </a:effectRef>
            <a:fontRef idx="minor">
              <a:schemeClr val="tx1"/>
            </a:fontRef>
          </xdr:style>
          <xdr:txBody>
            <a:bodyPr/>
            <a:lstStyle/>
            <a:p>
              <a:endParaRPr lang="de-DE"/>
            </a:p>
          </xdr:txBody>
        </xdr:sp>
      </xdr:grpSp>
    </xdr:grpSp>
    <xdr:clientData/>
  </xdr:twoCellAnchor>
  <xdr:twoCellAnchor>
    <xdr:from>
      <xdr:col>4</xdr:col>
      <xdr:colOff>333375</xdr:colOff>
      <xdr:row>116</xdr:row>
      <xdr:rowOff>95250</xdr:rowOff>
    </xdr:from>
    <xdr:to>
      <xdr:col>8</xdr:col>
      <xdr:colOff>685800</xdr:colOff>
      <xdr:row>135</xdr:row>
      <xdr:rowOff>9525</xdr:rowOff>
    </xdr:to>
    <xdr:grpSp>
      <xdr:nvGrpSpPr>
        <xdr:cNvPr id="577" name="Group 1"/>
        <xdr:cNvGrpSpPr>
          <a:grpSpLocks/>
        </xdr:cNvGrpSpPr>
      </xdr:nvGrpSpPr>
      <xdr:grpSpPr bwMode="auto">
        <a:xfrm>
          <a:off x="5419725" y="19307175"/>
          <a:ext cx="3400425" cy="2990850"/>
          <a:chOff x="457" y="181"/>
          <a:chExt cx="357" cy="186"/>
        </a:xfrm>
      </xdr:grpSpPr>
      <xdr:grpSp>
        <xdr:nvGrpSpPr>
          <xdr:cNvPr id="578" name="Group 2"/>
          <xdr:cNvGrpSpPr>
            <a:grpSpLocks/>
          </xdr:cNvGrpSpPr>
        </xdr:nvGrpSpPr>
        <xdr:grpSpPr bwMode="auto">
          <a:xfrm>
            <a:off x="457" y="181"/>
            <a:ext cx="336" cy="186"/>
            <a:chOff x="439" y="223"/>
            <a:chExt cx="336" cy="186"/>
          </a:xfrm>
        </xdr:grpSpPr>
        <xdr:sp macro="" textlink="">
          <xdr:nvSpPr>
            <xdr:cNvPr id="605" name="Line 3"/>
            <xdr:cNvSpPr>
              <a:spLocks noChangeShapeType="1"/>
            </xdr:cNvSpPr>
          </xdr:nvSpPr>
          <xdr:spPr bwMode="auto">
            <a:xfrm flipV="1">
              <a:off x="439" y="408"/>
              <a:ext cx="336" cy="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06" name="Line 4"/>
            <xdr:cNvSpPr>
              <a:spLocks noChangeShapeType="1"/>
            </xdr:cNvSpPr>
          </xdr:nvSpPr>
          <xdr:spPr bwMode="auto">
            <a:xfrm>
              <a:off x="774" y="223"/>
              <a:ext cx="0" cy="18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grpSp>
      <xdr:grpSp>
        <xdr:nvGrpSpPr>
          <xdr:cNvPr id="579" name="Group 5"/>
          <xdr:cNvGrpSpPr>
            <a:grpSpLocks/>
          </xdr:cNvGrpSpPr>
        </xdr:nvGrpSpPr>
        <xdr:grpSpPr bwMode="auto">
          <a:xfrm>
            <a:off x="479" y="218"/>
            <a:ext cx="35" cy="146"/>
            <a:chOff x="461" y="260"/>
            <a:chExt cx="35" cy="146"/>
          </a:xfrm>
        </xdr:grpSpPr>
        <xdr:grpSp>
          <xdr:nvGrpSpPr>
            <xdr:cNvPr id="600" name="Group 6"/>
            <xdr:cNvGrpSpPr>
              <a:grpSpLocks/>
            </xdr:cNvGrpSpPr>
          </xdr:nvGrpSpPr>
          <xdr:grpSpPr bwMode="auto">
            <a:xfrm>
              <a:off x="463" y="274"/>
              <a:ext cx="33" cy="132"/>
              <a:chOff x="463" y="274"/>
              <a:chExt cx="33" cy="132"/>
            </a:xfrm>
          </xdr:grpSpPr>
          <xdr:sp macro="" textlink="">
            <xdr:nvSpPr>
              <xdr:cNvPr id="603" name="Oval 7"/>
              <xdr:cNvSpPr>
                <a:spLocks noChangeArrowheads="1"/>
              </xdr:cNvSpPr>
            </xdr:nvSpPr>
            <xdr:spPr bwMode="auto">
              <a:xfrm>
                <a:off x="463" y="274"/>
                <a:ext cx="33" cy="33"/>
              </a:xfrm>
              <a:prstGeom prst="ellipse">
                <a:avLst/>
              </a:prstGeom>
              <a:solidFill>
                <a:srgbClr val="FFFFFF"/>
              </a:solidFill>
              <a:ln w="9525">
                <a:solidFill>
                  <a:srgbClr val="000000"/>
                </a:solidFill>
                <a:round/>
                <a:headEnd/>
                <a:tailEnd/>
              </a:ln>
            </xdr:spPr>
          </xdr:sp>
          <xdr:sp macro="" textlink="">
            <xdr:nvSpPr>
              <xdr:cNvPr id="604" name="Rectangle 8"/>
              <xdr:cNvSpPr>
                <a:spLocks noChangeArrowheads="1"/>
              </xdr:cNvSpPr>
            </xdr:nvSpPr>
            <xdr:spPr bwMode="auto">
              <a:xfrm>
                <a:off x="466" y="306"/>
                <a:ext cx="27" cy="100"/>
              </a:xfrm>
              <a:prstGeom prst="rect">
                <a:avLst/>
              </a:prstGeom>
              <a:solidFill>
                <a:srgbClr val="FFFFFF"/>
              </a:solidFill>
              <a:ln w="9525">
                <a:solidFill>
                  <a:srgbClr val="000000"/>
                </a:solidFill>
                <a:miter lim="800000"/>
                <a:headEnd/>
                <a:tailEnd/>
              </a:ln>
            </xdr:spPr>
          </xdr:sp>
        </xdr:grpSp>
        <xdr:sp macro="" textlink="">
          <xdr:nvSpPr>
            <xdr:cNvPr id="601" name="Oval 9"/>
            <xdr:cNvSpPr>
              <a:spLocks noChangeArrowheads="1"/>
            </xdr:cNvSpPr>
          </xdr:nvSpPr>
          <xdr:spPr bwMode="auto">
            <a:xfrm>
              <a:off x="484" y="280"/>
              <a:ext cx="8" cy="8"/>
            </a:xfrm>
            <a:prstGeom prst="ellipse">
              <a:avLst/>
            </a:prstGeom>
            <a:solidFill>
              <a:srgbClr val="FF0000"/>
            </a:solidFill>
            <a:ln w="9525">
              <a:solidFill>
                <a:srgbClr val="000000"/>
              </a:solidFill>
              <a:round/>
              <a:headEnd/>
              <a:tailEnd/>
            </a:ln>
          </xdr:spPr>
        </xdr:sp>
        <xdr:sp macro="" textlink="">
          <xdr:nvSpPr>
            <xdr:cNvPr id="602" name="Rectangle 10"/>
            <xdr:cNvSpPr>
              <a:spLocks noChangeArrowheads="1"/>
            </xdr:cNvSpPr>
          </xdr:nvSpPr>
          <xdr:spPr bwMode="auto">
            <a:xfrm>
              <a:off x="461" y="260"/>
              <a:ext cx="35" cy="15"/>
            </a:xfrm>
            <a:prstGeom prst="rect">
              <a:avLst/>
            </a:prstGeom>
            <a:solidFill>
              <a:srgbClr val="FFFFFF"/>
            </a:solidFill>
            <a:ln w="9525">
              <a:solidFill>
                <a:srgbClr val="000000"/>
              </a:solidFill>
              <a:miter lim="800000"/>
              <a:headEnd/>
              <a:tailEnd/>
            </a:ln>
          </xdr:spPr>
        </xdr:sp>
      </xdr:grpSp>
      <xdr:grpSp>
        <xdr:nvGrpSpPr>
          <xdr:cNvPr id="580" name="Group 11"/>
          <xdr:cNvGrpSpPr>
            <a:grpSpLocks/>
          </xdr:cNvGrpSpPr>
        </xdr:nvGrpSpPr>
        <xdr:grpSpPr bwMode="auto">
          <a:xfrm>
            <a:off x="545" y="260"/>
            <a:ext cx="25" cy="104"/>
            <a:chOff x="461" y="260"/>
            <a:chExt cx="35" cy="146"/>
          </a:xfrm>
        </xdr:grpSpPr>
        <xdr:grpSp>
          <xdr:nvGrpSpPr>
            <xdr:cNvPr id="595" name="Group 12"/>
            <xdr:cNvGrpSpPr>
              <a:grpSpLocks/>
            </xdr:cNvGrpSpPr>
          </xdr:nvGrpSpPr>
          <xdr:grpSpPr bwMode="auto">
            <a:xfrm>
              <a:off x="463" y="274"/>
              <a:ext cx="33" cy="132"/>
              <a:chOff x="463" y="274"/>
              <a:chExt cx="33" cy="132"/>
            </a:xfrm>
          </xdr:grpSpPr>
          <xdr:sp macro="" textlink="">
            <xdr:nvSpPr>
              <xdr:cNvPr id="598" name="Oval 13"/>
              <xdr:cNvSpPr>
                <a:spLocks noChangeArrowheads="1"/>
              </xdr:cNvSpPr>
            </xdr:nvSpPr>
            <xdr:spPr bwMode="auto">
              <a:xfrm>
                <a:off x="463" y="274"/>
                <a:ext cx="33" cy="33"/>
              </a:xfrm>
              <a:prstGeom prst="ellipse">
                <a:avLst/>
              </a:prstGeom>
              <a:solidFill>
                <a:srgbClr val="FFFFFF"/>
              </a:solidFill>
              <a:ln w="9525">
                <a:solidFill>
                  <a:srgbClr val="000000"/>
                </a:solidFill>
                <a:round/>
                <a:headEnd/>
                <a:tailEnd/>
              </a:ln>
            </xdr:spPr>
          </xdr:sp>
          <xdr:sp macro="" textlink="">
            <xdr:nvSpPr>
              <xdr:cNvPr id="599" name="Rectangle 14"/>
              <xdr:cNvSpPr>
                <a:spLocks noChangeArrowheads="1"/>
              </xdr:cNvSpPr>
            </xdr:nvSpPr>
            <xdr:spPr bwMode="auto">
              <a:xfrm>
                <a:off x="466" y="306"/>
                <a:ext cx="27" cy="100"/>
              </a:xfrm>
              <a:prstGeom prst="rect">
                <a:avLst/>
              </a:prstGeom>
              <a:solidFill>
                <a:srgbClr val="FFFFFF"/>
              </a:solidFill>
              <a:ln w="9525">
                <a:solidFill>
                  <a:srgbClr val="000000"/>
                </a:solidFill>
                <a:miter lim="800000"/>
                <a:headEnd/>
                <a:tailEnd/>
              </a:ln>
            </xdr:spPr>
          </xdr:sp>
        </xdr:grpSp>
        <xdr:sp macro="" textlink="">
          <xdr:nvSpPr>
            <xdr:cNvPr id="596" name="Oval 15"/>
            <xdr:cNvSpPr>
              <a:spLocks noChangeArrowheads="1"/>
            </xdr:cNvSpPr>
          </xdr:nvSpPr>
          <xdr:spPr bwMode="auto">
            <a:xfrm>
              <a:off x="484" y="280"/>
              <a:ext cx="8" cy="8"/>
            </a:xfrm>
            <a:prstGeom prst="ellipse">
              <a:avLst/>
            </a:prstGeom>
            <a:solidFill>
              <a:srgbClr val="FF0000"/>
            </a:solidFill>
            <a:ln w="9525">
              <a:solidFill>
                <a:srgbClr val="000000"/>
              </a:solidFill>
              <a:round/>
              <a:headEnd/>
              <a:tailEnd/>
            </a:ln>
          </xdr:spPr>
        </xdr:sp>
        <xdr:sp macro="" textlink="">
          <xdr:nvSpPr>
            <xdr:cNvPr id="597" name="Rectangle 16"/>
            <xdr:cNvSpPr>
              <a:spLocks noChangeArrowheads="1"/>
            </xdr:cNvSpPr>
          </xdr:nvSpPr>
          <xdr:spPr bwMode="auto">
            <a:xfrm>
              <a:off x="461" y="260"/>
              <a:ext cx="35" cy="15"/>
            </a:xfrm>
            <a:prstGeom prst="rect">
              <a:avLst/>
            </a:prstGeom>
            <a:solidFill>
              <a:srgbClr val="FFFFFF"/>
            </a:solidFill>
            <a:ln w="9525">
              <a:solidFill>
                <a:srgbClr val="000000"/>
              </a:solidFill>
              <a:miter lim="800000"/>
              <a:headEnd/>
              <a:tailEnd/>
            </a:ln>
          </xdr:spPr>
        </xdr:sp>
      </xdr:grpSp>
      <xdr:sp macro="" textlink="">
        <xdr:nvSpPr>
          <xdr:cNvPr id="581" name="Line 17"/>
          <xdr:cNvSpPr>
            <a:spLocks noChangeShapeType="1"/>
          </xdr:cNvSpPr>
        </xdr:nvSpPr>
        <xdr:spPr bwMode="auto">
          <a:xfrm>
            <a:off x="566" y="277"/>
            <a:ext cx="246" cy="0"/>
          </a:xfrm>
          <a:prstGeom prst="line">
            <a:avLst/>
          </a:prstGeom>
          <a:noFill/>
          <a:ln w="9525">
            <a:solidFill>
              <a:srgbClr val="00CCFF"/>
            </a:solidFill>
            <a:round/>
            <a:headEnd/>
            <a:tailEnd/>
          </a:ln>
          <a:extLst>
            <a:ext uri="{909E8E84-426E-40DD-AFC4-6F175D3DCCD1}">
              <a14:hiddenFill xmlns:a14="http://schemas.microsoft.com/office/drawing/2010/main">
                <a:noFill/>
              </a14:hiddenFill>
            </a:ext>
          </a:extLst>
        </xdr:spPr>
      </xdr:sp>
      <xdr:sp macro="" textlink="">
        <xdr:nvSpPr>
          <xdr:cNvPr id="582" name="Line 18"/>
          <xdr:cNvSpPr>
            <a:spLocks noChangeShapeType="1"/>
          </xdr:cNvSpPr>
        </xdr:nvSpPr>
        <xdr:spPr bwMode="auto">
          <a:xfrm>
            <a:off x="511" y="242"/>
            <a:ext cx="302" cy="0"/>
          </a:xfrm>
          <a:prstGeom prst="line">
            <a:avLst/>
          </a:prstGeom>
          <a:noFill/>
          <a:ln w="9525">
            <a:solidFill>
              <a:srgbClr val="00CCFF"/>
            </a:solidFill>
            <a:round/>
            <a:headEnd/>
            <a:tailEnd/>
          </a:ln>
          <a:extLst>
            <a:ext uri="{909E8E84-426E-40DD-AFC4-6F175D3DCCD1}">
              <a14:hiddenFill xmlns:a14="http://schemas.microsoft.com/office/drawing/2010/main">
                <a:noFill/>
              </a14:hiddenFill>
            </a:ext>
          </a:extLst>
        </xdr:spPr>
      </xdr:sp>
      <xdr:sp macro="" textlink="">
        <xdr:nvSpPr>
          <xdr:cNvPr id="583" name="Line 19"/>
          <xdr:cNvSpPr>
            <a:spLocks noChangeShapeType="1"/>
          </xdr:cNvSpPr>
        </xdr:nvSpPr>
        <xdr:spPr bwMode="auto">
          <a:xfrm>
            <a:off x="567" y="276"/>
            <a:ext cx="223" cy="23"/>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584" name="Line 20"/>
          <xdr:cNvSpPr>
            <a:spLocks noChangeShapeType="1"/>
          </xdr:cNvSpPr>
        </xdr:nvSpPr>
        <xdr:spPr bwMode="auto">
          <a:xfrm flipV="1">
            <a:off x="569" y="299"/>
            <a:ext cx="224" cy="23"/>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585" name="Line 21"/>
          <xdr:cNvSpPr>
            <a:spLocks noChangeShapeType="1"/>
          </xdr:cNvSpPr>
        </xdr:nvSpPr>
        <xdr:spPr bwMode="auto">
          <a:xfrm>
            <a:off x="514" y="218"/>
            <a:ext cx="300" cy="0"/>
          </a:xfrm>
          <a:prstGeom prst="line">
            <a:avLst/>
          </a:prstGeom>
          <a:noFill/>
          <a:ln w="9525">
            <a:solidFill>
              <a:srgbClr val="00CCFF"/>
            </a:solidFill>
            <a:round/>
            <a:headEnd/>
            <a:tailEnd/>
          </a:ln>
          <a:extLst>
            <a:ext uri="{909E8E84-426E-40DD-AFC4-6F175D3DCCD1}">
              <a14:hiddenFill xmlns:a14="http://schemas.microsoft.com/office/drawing/2010/main">
                <a:noFill/>
              </a14:hiddenFill>
            </a:ext>
          </a:extLst>
        </xdr:spPr>
      </xdr:sp>
      <xdr:grpSp>
        <xdr:nvGrpSpPr>
          <xdr:cNvPr id="586" name="Group 22"/>
          <xdr:cNvGrpSpPr>
            <a:grpSpLocks/>
          </xdr:cNvGrpSpPr>
        </xdr:nvGrpSpPr>
        <xdr:grpSpPr bwMode="auto">
          <a:xfrm>
            <a:off x="512" y="218"/>
            <a:ext cx="279" cy="23"/>
            <a:chOff x="494" y="260"/>
            <a:chExt cx="279" cy="23"/>
          </a:xfrm>
        </xdr:grpSpPr>
        <xdr:sp macro="" textlink="">
          <xdr:nvSpPr>
            <xdr:cNvPr id="593" name="Line 23"/>
            <xdr:cNvSpPr>
              <a:spLocks noChangeShapeType="1"/>
            </xdr:cNvSpPr>
          </xdr:nvSpPr>
          <xdr:spPr bwMode="auto">
            <a:xfrm>
              <a:off x="496" y="260"/>
              <a:ext cx="277" cy="13"/>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594" name="Line 24"/>
            <xdr:cNvSpPr>
              <a:spLocks noChangeShapeType="1"/>
            </xdr:cNvSpPr>
          </xdr:nvSpPr>
          <xdr:spPr bwMode="auto">
            <a:xfrm flipV="1">
              <a:off x="494" y="273"/>
              <a:ext cx="279" cy="1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587" name="Line 25"/>
          <xdr:cNvSpPr>
            <a:spLocks noChangeShapeType="1"/>
          </xdr:cNvSpPr>
        </xdr:nvSpPr>
        <xdr:spPr bwMode="auto">
          <a:xfrm flipV="1">
            <a:off x="514" y="274"/>
            <a:ext cx="275" cy="36"/>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88" name="Line 26"/>
          <xdr:cNvSpPr>
            <a:spLocks noChangeShapeType="1"/>
          </xdr:cNvSpPr>
        </xdr:nvSpPr>
        <xdr:spPr bwMode="auto">
          <a:xfrm flipH="1" flipV="1">
            <a:off x="507" y="242"/>
            <a:ext cx="283" cy="3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89" name="Line 27"/>
          <xdr:cNvSpPr>
            <a:spLocks noChangeShapeType="1"/>
          </xdr:cNvSpPr>
        </xdr:nvSpPr>
        <xdr:spPr bwMode="auto">
          <a:xfrm>
            <a:off x="568" y="260"/>
            <a:ext cx="222" cy="7"/>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590" name="Line 28"/>
          <xdr:cNvSpPr>
            <a:spLocks noChangeShapeType="1"/>
          </xdr:cNvSpPr>
        </xdr:nvSpPr>
        <xdr:spPr bwMode="auto">
          <a:xfrm flipH="1">
            <a:off x="568" y="267"/>
            <a:ext cx="221" cy="9"/>
          </a:xfrm>
          <a:prstGeom prst="line">
            <a:avLst/>
          </a:prstGeom>
          <a:noFill/>
          <a:ln w="9525">
            <a:solidFill>
              <a:srgbClr val="00FF00"/>
            </a:solidFill>
            <a:round/>
            <a:headEnd/>
            <a:tailEnd/>
          </a:ln>
          <a:extLst>
            <a:ext uri="{909E8E84-426E-40DD-AFC4-6F175D3DCCD1}">
              <a14:hiddenFill xmlns:a14="http://schemas.microsoft.com/office/drawing/2010/main">
                <a:noFill/>
              </a14:hiddenFill>
            </a:ext>
          </a:extLst>
        </xdr:spPr>
      </xdr:sp>
      <xdr:sp macro="" textlink="">
        <xdr:nvSpPr>
          <xdr:cNvPr id="591" name="Text Box 29"/>
          <xdr:cNvSpPr txBox="1">
            <a:spLocks noChangeArrowheads="1"/>
          </xdr:cNvSpPr>
        </xdr:nvSpPr>
        <xdr:spPr bwMode="auto">
          <a:xfrm>
            <a:off x="493" y="289"/>
            <a:ext cx="20" cy="27"/>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a:t>
            </a:r>
          </a:p>
        </xdr:txBody>
      </xdr:sp>
      <xdr:sp macro="" textlink="">
        <xdr:nvSpPr>
          <xdr:cNvPr id="592" name="Text Box 30"/>
          <xdr:cNvSpPr txBox="1">
            <a:spLocks noChangeArrowheads="1"/>
          </xdr:cNvSpPr>
        </xdr:nvSpPr>
        <xdr:spPr bwMode="auto">
          <a:xfrm>
            <a:off x="554" y="306"/>
            <a:ext cx="20" cy="27"/>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a:t>
            </a:r>
          </a:p>
        </xdr:txBody>
      </xdr:sp>
    </xdr:grpSp>
    <xdr:clientData/>
  </xdr:twoCellAnchor>
  <xdr:twoCellAnchor>
    <xdr:from>
      <xdr:col>1</xdr:col>
      <xdr:colOff>857250</xdr:colOff>
      <xdr:row>191</xdr:row>
      <xdr:rowOff>28575</xdr:rowOff>
    </xdr:from>
    <xdr:to>
      <xdr:col>5</xdr:col>
      <xdr:colOff>266700</xdr:colOff>
      <xdr:row>202</xdr:row>
      <xdr:rowOff>123825</xdr:rowOff>
    </xdr:to>
    <xdr:grpSp>
      <xdr:nvGrpSpPr>
        <xdr:cNvPr id="661" name="Group 30"/>
        <xdr:cNvGrpSpPr>
          <a:grpSpLocks/>
        </xdr:cNvGrpSpPr>
      </xdr:nvGrpSpPr>
      <xdr:grpSpPr bwMode="auto">
        <a:xfrm>
          <a:off x="1619250" y="31556325"/>
          <a:ext cx="4495800" cy="1876425"/>
          <a:chOff x="170" y="582"/>
          <a:chExt cx="432" cy="197"/>
        </a:xfrm>
      </xdr:grpSpPr>
      <xdr:grpSp>
        <xdr:nvGrpSpPr>
          <xdr:cNvPr id="662" name="Group 20"/>
          <xdr:cNvGrpSpPr>
            <a:grpSpLocks/>
          </xdr:cNvGrpSpPr>
        </xdr:nvGrpSpPr>
        <xdr:grpSpPr bwMode="auto">
          <a:xfrm>
            <a:off x="188" y="582"/>
            <a:ext cx="414" cy="196"/>
            <a:chOff x="210" y="564"/>
            <a:chExt cx="452" cy="214"/>
          </a:xfrm>
        </xdr:grpSpPr>
        <xdr:sp macro="" textlink="">
          <xdr:nvSpPr>
            <xdr:cNvPr id="671" name="Line 1"/>
            <xdr:cNvSpPr>
              <a:spLocks noChangeShapeType="1"/>
            </xdr:cNvSpPr>
          </xdr:nvSpPr>
          <xdr:spPr bwMode="auto">
            <a:xfrm>
              <a:off x="608" y="564"/>
              <a:ext cx="0" cy="2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2" name="Line 2"/>
            <xdr:cNvSpPr>
              <a:spLocks noChangeShapeType="1"/>
            </xdr:cNvSpPr>
          </xdr:nvSpPr>
          <xdr:spPr bwMode="auto">
            <a:xfrm flipH="1">
              <a:off x="210" y="778"/>
              <a:ext cx="39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673" name="Group 9"/>
            <xdr:cNvGrpSpPr>
              <a:grpSpLocks/>
            </xdr:cNvGrpSpPr>
          </xdr:nvGrpSpPr>
          <xdr:grpSpPr bwMode="auto">
            <a:xfrm>
              <a:off x="320" y="581"/>
              <a:ext cx="47" cy="196"/>
              <a:chOff x="312" y="582"/>
              <a:chExt cx="47" cy="196"/>
            </a:xfrm>
          </xdr:grpSpPr>
          <xdr:sp macro="" textlink="">
            <xdr:nvSpPr>
              <xdr:cNvPr id="683" name="Oval 3"/>
              <xdr:cNvSpPr>
                <a:spLocks noChangeArrowheads="1"/>
              </xdr:cNvSpPr>
            </xdr:nvSpPr>
            <xdr:spPr bwMode="auto">
              <a:xfrm>
                <a:off x="312" y="582"/>
                <a:ext cx="28" cy="44"/>
              </a:xfrm>
              <a:prstGeom prst="ellipse">
                <a:avLst/>
              </a:prstGeom>
              <a:solidFill>
                <a:srgbClr val="FFFFFF"/>
              </a:solidFill>
              <a:ln w="9525">
                <a:solidFill>
                  <a:srgbClr val="000000"/>
                </a:solidFill>
                <a:round/>
                <a:headEnd/>
                <a:tailEnd/>
              </a:ln>
            </xdr:spPr>
          </xdr:sp>
          <xdr:sp macro="" textlink="">
            <xdr:nvSpPr>
              <xdr:cNvPr id="684" name="Oval 4"/>
              <xdr:cNvSpPr>
                <a:spLocks noChangeArrowheads="1"/>
              </xdr:cNvSpPr>
            </xdr:nvSpPr>
            <xdr:spPr bwMode="auto">
              <a:xfrm>
                <a:off x="326" y="592"/>
                <a:ext cx="8" cy="8"/>
              </a:xfrm>
              <a:prstGeom prst="ellipse">
                <a:avLst/>
              </a:prstGeom>
              <a:solidFill>
                <a:srgbClr val="FF0000"/>
              </a:solidFill>
              <a:ln w="9525">
                <a:solidFill>
                  <a:srgbClr val="000000"/>
                </a:solidFill>
                <a:round/>
                <a:headEnd/>
                <a:tailEnd/>
              </a:ln>
            </xdr:spPr>
          </xdr:sp>
          <xdr:sp macro="" textlink="">
            <xdr:nvSpPr>
              <xdr:cNvPr id="685" name="Rectangle 5"/>
              <xdr:cNvSpPr>
                <a:spLocks noChangeArrowheads="1"/>
              </xdr:cNvSpPr>
            </xdr:nvSpPr>
            <xdr:spPr bwMode="auto">
              <a:xfrm>
                <a:off x="315" y="628"/>
                <a:ext cx="26" cy="67"/>
              </a:xfrm>
              <a:prstGeom prst="rect">
                <a:avLst/>
              </a:prstGeom>
              <a:solidFill>
                <a:srgbClr val="00CCFF"/>
              </a:solidFill>
              <a:ln w="9525">
                <a:solidFill>
                  <a:srgbClr val="000000"/>
                </a:solidFill>
                <a:miter lim="800000"/>
                <a:headEnd/>
                <a:tailEnd/>
              </a:ln>
            </xdr:spPr>
          </xdr:sp>
          <xdr:sp macro="" textlink="">
            <xdr:nvSpPr>
              <xdr:cNvPr id="686" name="Rectangle 6"/>
              <xdr:cNvSpPr>
                <a:spLocks noChangeArrowheads="1"/>
              </xdr:cNvSpPr>
            </xdr:nvSpPr>
            <xdr:spPr bwMode="auto">
              <a:xfrm>
                <a:off x="314" y="696"/>
                <a:ext cx="27" cy="73"/>
              </a:xfrm>
              <a:prstGeom prst="rect">
                <a:avLst/>
              </a:prstGeom>
              <a:solidFill>
                <a:srgbClr val="0000FF"/>
              </a:solidFill>
              <a:ln w="9525">
                <a:solidFill>
                  <a:srgbClr val="000000"/>
                </a:solidFill>
                <a:miter lim="800000"/>
                <a:headEnd/>
                <a:tailEnd/>
              </a:ln>
            </xdr:spPr>
          </xdr:sp>
          <xdr:sp macro="" textlink="">
            <xdr:nvSpPr>
              <xdr:cNvPr id="687" name="Rectangle 8"/>
              <xdr:cNvSpPr>
                <a:spLocks noChangeArrowheads="1"/>
              </xdr:cNvSpPr>
            </xdr:nvSpPr>
            <xdr:spPr bwMode="auto">
              <a:xfrm>
                <a:off x="314" y="770"/>
                <a:ext cx="45" cy="8"/>
              </a:xfrm>
              <a:prstGeom prst="rect">
                <a:avLst/>
              </a:prstGeom>
              <a:solidFill>
                <a:srgbClr val="000000"/>
              </a:solidFill>
              <a:ln w="9525">
                <a:solidFill>
                  <a:srgbClr val="000000"/>
                </a:solidFill>
                <a:miter lim="800000"/>
                <a:headEnd/>
                <a:tailEnd/>
              </a:ln>
            </xdr:spPr>
          </xdr:sp>
        </xdr:grpSp>
        <xdr:sp macro="" textlink="">
          <xdr:nvSpPr>
            <xdr:cNvPr id="674" name="Line 10"/>
            <xdr:cNvSpPr>
              <a:spLocks noChangeShapeType="1"/>
            </xdr:cNvSpPr>
          </xdr:nvSpPr>
          <xdr:spPr bwMode="auto">
            <a:xfrm>
              <a:off x="254" y="596"/>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75" name="Line 11"/>
            <xdr:cNvSpPr>
              <a:spLocks noChangeShapeType="1"/>
            </xdr:cNvSpPr>
          </xdr:nvSpPr>
          <xdr:spPr bwMode="auto">
            <a:xfrm>
              <a:off x="256" y="580"/>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76" name="Line 13"/>
            <xdr:cNvSpPr>
              <a:spLocks noChangeShapeType="1"/>
            </xdr:cNvSpPr>
          </xdr:nvSpPr>
          <xdr:spPr bwMode="auto">
            <a:xfrm>
              <a:off x="256" y="731"/>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77" name="Line 14"/>
            <xdr:cNvSpPr>
              <a:spLocks noChangeShapeType="1"/>
            </xdr:cNvSpPr>
          </xdr:nvSpPr>
          <xdr:spPr bwMode="auto">
            <a:xfrm>
              <a:off x="604" y="665"/>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78" name="Line 15"/>
            <xdr:cNvSpPr>
              <a:spLocks noChangeShapeType="1"/>
            </xdr:cNvSpPr>
          </xdr:nvSpPr>
          <xdr:spPr bwMode="auto">
            <a:xfrm flipV="1">
              <a:off x="350" y="664"/>
              <a:ext cx="258" cy="6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79" name="Line 16"/>
            <xdr:cNvSpPr>
              <a:spLocks noChangeShapeType="1"/>
            </xdr:cNvSpPr>
          </xdr:nvSpPr>
          <xdr:spPr bwMode="auto">
            <a:xfrm flipH="1" flipV="1">
              <a:off x="356" y="599"/>
              <a:ext cx="251" cy="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80" name="Line 17"/>
            <xdr:cNvSpPr>
              <a:spLocks noChangeShapeType="1"/>
            </xdr:cNvSpPr>
          </xdr:nvSpPr>
          <xdr:spPr bwMode="auto">
            <a:xfrm>
              <a:off x="599" y="588"/>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81" name="Line 18"/>
            <xdr:cNvSpPr>
              <a:spLocks noChangeShapeType="1"/>
            </xdr:cNvSpPr>
          </xdr:nvSpPr>
          <xdr:spPr bwMode="auto">
            <a:xfrm>
              <a:off x="335" y="580"/>
              <a:ext cx="272" cy="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82" name="Line 19"/>
            <xdr:cNvSpPr>
              <a:spLocks noChangeShapeType="1"/>
            </xdr:cNvSpPr>
          </xdr:nvSpPr>
          <xdr:spPr bwMode="auto">
            <a:xfrm flipH="1">
              <a:off x="348" y="588"/>
              <a:ext cx="259" cy="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663" name="Line 22"/>
          <xdr:cNvSpPr>
            <a:spLocks noChangeShapeType="1"/>
          </xdr:cNvSpPr>
        </xdr:nvSpPr>
        <xdr:spPr bwMode="auto">
          <a:xfrm>
            <a:off x="170" y="613"/>
            <a:ext cx="0" cy="56"/>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64" name="Line 23"/>
          <xdr:cNvSpPr>
            <a:spLocks noChangeShapeType="1"/>
          </xdr:cNvSpPr>
        </xdr:nvSpPr>
        <xdr:spPr bwMode="auto">
          <a:xfrm>
            <a:off x="170" y="671"/>
            <a:ext cx="0" cy="61"/>
          </a:xfrm>
          <a:prstGeom prst="line">
            <a:avLst/>
          </a:prstGeom>
          <a:noFill/>
          <a:ln w="762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65" name="Line 24"/>
          <xdr:cNvSpPr>
            <a:spLocks noChangeShapeType="1"/>
          </xdr:cNvSpPr>
        </xdr:nvSpPr>
        <xdr:spPr bwMode="auto">
          <a:xfrm>
            <a:off x="184" y="596"/>
            <a:ext cx="0" cy="7"/>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66" name="Line 25"/>
          <xdr:cNvSpPr>
            <a:spLocks noChangeShapeType="1"/>
          </xdr:cNvSpPr>
        </xdr:nvSpPr>
        <xdr:spPr bwMode="auto">
          <a:xfrm>
            <a:off x="184" y="604"/>
            <a:ext cx="0" cy="7"/>
          </a:xfrm>
          <a:prstGeom prst="line">
            <a:avLst/>
          </a:prstGeom>
          <a:noFill/>
          <a:ln w="762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67" name="Line 26"/>
          <xdr:cNvSpPr>
            <a:spLocks noChangeShapeType="1"/>
          </xdr:cNvSpPr>
        </xdr:nvSpPr>
        <xdr:spPr bwMode="auto">
          <a:xfrm>
            <a:off x="583" y="674"/>
            <a:ext cx="0" cy="61"/>
          </a:xfrm>
          <a:prstGeom prst="line">
            <a:avLst/>
          </a:prstGeom>
          <a:noFill/>
          <a:ln w="762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68" name="Line 27"/>
          <xdr:cNvSpPr>
            <a:spLocks noChangeShapeType="1"/>
          </xdr:cNvSpPr>
        </xdr:nvSpPr>
        <xdr:spPr bwMode="auto">
          <a:xfrm>
            <a:off x="583" y="616"/>
            <a:ext cx="0" cy="56"/>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69" name="Line 28"/>
          <xdr:cNvSpPr>
            <a:spLocks noChangeShapeType="1"/>
          </xdr:cNvSpPr>
        </xdr:nvSpPr>
        <xdr:spPr bwMode="auto">
          <a:xfrm>
            <a:off x="170" y="733"/>
            <a:ext cx="0" cy="43"/>
          </a:xfrm>
          <a:prstGeom prst="line">
            <a:avLst/>
          </a:prstGeom>
          <a:noFill/>
          <a:ln w="76200">
            <a:solidFill>
              <a:srgbClr val="FFCC00"/>
            </a:solidFill>
            <a:round/>
            <a:headEnd/>
            <a:tailEnd/>
          </a:ln>
          <a:extLst>
            <a:ext uri="{909E8E84-426E-40DD-AFC4-6F175D3DCCD1}">
              <a14:hiddenFill xmlns:a14="http://schemas.microsoft.com/office/drawing/2010/main">
                <a:noFill/>
              </a14:hiddenFill>
            </a:ext>
          </a:extLst>
        </xdr:spPr>
      </xdr:sp>
      <xdr:sp macro="" textlink="">
        <xdr:nvSpPr>
          <xdr:cNvPr id="670" name="Line 29"/>
          <xdr:cNvSpPr>
            <a:spLocks noChangeShapeType="1"/>
          </xdr:cNvSpPr>
        </xdr:nvSpPr>
        <xdr:spPr bwMode="auto">
          <a:xfrm>
            <a:off x="583" y="736"/>
            <a:ext cx="0" cy="43"/>
          </a:xfrm>
          <a:prstGeom prst="line">
            <a:avLst/>
          </a:prstGeom>
          <a:noFill/>
          <a:ln w="76200">
            <a:solidFill>
              <a:srgbClr val="FFCC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1524000</xdr:colOff>
      <xdr:row>226</xdr:row>
      <xdr:rowOff>114300</xdr:rowOff>
    </xdr:from>
    <xdr:to>
      <xdr:col>6</xdr:col>
      <xdr:colOff>171450</xdr:colOff>
      <xdr:row>238</xdr:row>
      <xdr:rowOff>47625</xdr:rowOff>
    </xdr:to>
    <xdr:grpSp>
      <xdr:nvGrpSpPr>
        <xdr:cNvPr id="688" name="Group 31"/>
        <xdr:cNvGrpSpPr>
          <a:grpSpLocks/>
        </xdr:cNvGrpSpPr>
      </xdr:nvGrpSpPr>
      <xdr:grpSpPr bwMode="auto">
        <a:xfrm>
          <a:off x="2286000" y="37309425"/>
          <a:ext cx="4495800" cy="1876425"/>
          <a:chOff x="170" y="582"/>
          <a:chExt cx="432" cy="197"/>
        </a:xfrm>
      </xdr:grpSpPr>
      <xdr:grpSp>
        <xdr:nvGrpSpPr>
          <xdr:cNvPr id="689" name="Group 32"/>
          <xdr:cNvGrpSpPr>
            <a:grpSpLocks/>
          </xdr:cNvGrpSpPr>
        </xdr:nvGrpSpPr>
        <xdr:grpSpPr bwMode="auto">
          <a:xfrm>
            <a:off x="188" y="582"/>
            <a:ext cx="414" cy="196"/>
            <a:chOff x="210" y="564"/>
            <a:chExt cx="452" cy="214"/>
          </a:xfrm>
        </xdr:grpSpPr>
        <xdr:sp macro="" textlink="">
          <xdr:nvSpPr>
            <xdr:cNvPr id="698" name="Line 33"/>
            <xdr:cNvSpPr>
              <a:spLocks noChangeShapeType="1"/>
            </xdr:cNvSpPr>
          </xdr:nvSpPr>
          <xdr:spPr bwMode="auto">
            <a:xfrm>
              <a:off x="608" y="564"/>
              <a:ext cx="0" cy="2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99" name="Line 34"/>
            <xdr:cNvSpPr>
              <a:spLocks noChangeShapeType="1"/>
            </xdr:cNvSpPr>
          </xdr:nvSpPr>
          <xdr:spPr bwMode="auto">
            <a:xfrm flipH="1">
              <a:off x="210" y="778"/>
              <a:ext cx="39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00" name="Group 35"/>
            <xdr:cNvGrpSpPr>
              <a:grpSpLocks/>
            </xdr:cNvGrpSpPr>
          </xdr:nvGrpSpPr>
          <xdr:grpSpPr bwMode="auto">
            <a:xfrm>
              <a:off x="320" y="581"/>
              <a:ext cx="47" cy="196"/>
              <a:chOff x="312" y="582"/>
              <a:chExt cx="47" cy="196"/>
            </a:xfrm>
          </xdr:grpSpPr>
          <xdr:sp macro="" textlink="">
            <xdr:nvSpPr>
              <xdr:cNvPr id="710" name="Oval 36"/>
              <xdr:cNvSpPr>
                <a:spLocks noChangeArrowheads="1"/>
              </xdr:cNvSpPr>
            </xdr:nvSpPr>
            <xdr:spPr bwMode="auto">
              <a:xfrm>
                <a:off x="312" y="582"/>
                <a:ext cx="28" cy="44"/>
              </a:xfrm>
              <a:prstGeom prst="ellipse">
                <a:avLst/>
              </a:prstGeom>
              <a:solidFill>
                <a:srgbClr val="FFFFFF"/>
              </a:solidFill>
              <a:ln w="9525">
                <a:solidFill>
                  <a:srgbClr val="000000"/>
                </a:solidFill>
                <a:round/>
                <a:headEnd/>
                <a:tailEnd/>
              </a:ln>
            </xdr:spPr>
          </xdr:sp>
          <xdr:sp macro="" textlink="">
            <xdr:nvSpPr>
              <xdr:cNvPr id="711" name="Oval 37"/>
              <xdr:cNvSpPr>
                <a:spLocks noChangeArrowheads="1"/>
              </xdr:cNvSpPr>
            </xdr:nvSpPr>
            <xdr:spPr bwMode="auto">
              <a:xfrm>
                <a:off x="326" y="592"/>
                <a:ext cx="8" cy="8"/>
              </a:xfrm>
              <a:prstGeom prst="ellipse">
                <a:avLst/>
              </a:prstGeom>
              <a:solidFill>
                <a:srgbClr val="FF0000"/>
              </a:solidFill>
              <a:ln w="9525">
                <a:solidFill>
                  <a:srgbClr val="000000"/>
                </a:solidFill>
                <a:round/>
                <a:headEnd/>
                <a:tailEnd/>
              </a:ln>
            </xdr:spPr>
          </xdr:sp>
          <xdr:sp macro="" textlink="">
            <xdr:nvSpPr>
              <xdr:cNvPr id="712" name="Rectangle 38"/>
              <xdr:cNvSpPr>
                <a:spLocks noChangeArrowheads="1"/>
              </xdr:cNvSpPr>
            </xdr:nvSpPr>
            <xdr:spPr bwMode="auto">
              <a:xfrm>
                <a:off x="315" y="628"/>
                <a:ext cx="26" cy="67"/>
              </a:xfrm>
              <a:prstGeom prst="rect">
                <a:avLst/>
              </a:prstGeom>
              <a:solidFill>
                <a:srgbClr val="00CCFF"/>
              </a:solidFill>
              <a:ln w="9525">
                <a:solidFill>
                  <a:srgbClr val="000000"/>
                </a:solidFill>
                <a:miter lim="800000"/>
                <a:headEnd/>
                <a:tailEnd/>
              </a:ln>
            </xdr:spPr>
          </xdr:sp>
          <xdr:sp macro="" textlink="">
            <xdr:nvSpPr>
              <xdr:cNvPr id="713" name="Rectangle 39"/>
              <xdr:cNvSpPr>
                <a:spLocks noChangeArrowheads="1"/>
              </xdr:cNvSpPr>
            </xdr:nvSpPr>
            <xdr:spPr bwMode="auto">
              <a:xfrm>
                <a:off x="314" y="696"/>
                <a:ext cx="27" cy="73"/>
              </a:xfrm>
              <a:prstGeom prst="rect">
                <a:avLst/>
              </a:prstGeom>
              <a:solidFill>
                <a:srgbClr val="0000FF"/>
              </a:solidFill>
              <a:ln w="9525">
                <a:solidFill>
                  <a:srgbClr val="000000"/>
                </a:solidFill>
                <a:miter lim="800000"/>
                <a:headEnd/>
                <a:tailEnd/>
              </a:ln>
            </xdr:spPr>
          </xdr:sp>
          <xdr:sp macro="" textlink="">
            <xdr:nvSpPr>
              <xdr:cNvPr id="714" name="Rectangle 40"/>
              <xdr:cNvSpPr>
                <a:spLocks noChangeArrowheads="1"/>
              </xdr:cNvSpPr>
            </xdr:nvSpPr>
            <xdr:spPr bwMode="auto">
              <a:xfrm>
                <a:off x="314" y="770"/>
                <a:ext cx="45" cy="8"/>
              </a:xfrm>
              <a:prstGeom prst="rect">
                <a:avLst/>
              </a:prstGeom>
              <a:solidFill>
                <a:srgbClr val="000000"/>
              </a:solidFill>
              <a:ln w="9525">
                <a:solidFill>
                  <a:srgbClr val="000000"/>
                </a:solidFill>
                <a:miter lim="800000"/>
                <a:headEnd/>
                <a:tailEnd/>
              </a:ln>
            </xdr:spPr>
          </xdr:sp>
        </xdr:grpSp>
        <xdr:sp macro="" textlink="">
          <xdr:nvSpPr>
            <xdr:cNvPr id="701" name="Line 41"/>
            <xdr:cNvSpPr>
              <a:spLocks noChangeShapeType="1"/>
            </xdr:cNvSpPr>
          </xdr:nvSpPr>
          <xdr:spPr bwMode="auto">
            <a:xfrm>
              <a:off x="254" y="596"/>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702" name="Line 42"/>
            <xdr:cNvSpPr>
              <a:spLocks noChangeShapeType="1"/>
            </xdr:cNvSpPr>
          </xdr:nvSpPr>
          <xdr:spPr bwMode="auto">
            <a:xfrm>
              <a:off x="256" y="580"/>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703" name="Line 43"/>
            <xdr:cNvSpPr>
              <a:spLocks noChangeShapeType="1"/>
            </xdr:cNvSpPr>
          </xdr:nvSpPr>
          <xdr:spPr bwMode="auto">
            <a:xfrm>
              <a:off x="256" y="731"/>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704" name="Line 44"/>
            <xdr:cNvSpPr>
              <a:spLocks noChangeShapeType="1"/>
            </xdr:cNvSpPr>
          </xdr:nvSpPr>
          <xdr:spPr bwMode="auto">
            <a:xfrm>
              <a:off x="604" y="665"/>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705" name="Line 45"/>
            <xdr:cNvSpPr>
              <a:spLocks noChangeShapeType="1"/>
            </xdr:cNvSpPr>
          </xdr:nvSpPr>
          <xdr:spPr bwMode="auto">
            <a:xfrm flipV="1">
              <a:off x="350" y="664"/>
              <a:ext cx="258" cy="6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06" name="Line 46"/>
            <xdr:cNvSpPr>
              <a:spLocks noChangeShapeType="1"/>
            </xdr:cNvSpPr>
          </xdr:nvSpPr>
          <xdr:spPr bwMode="auto">
            <a:xfrm flipH="1" flipV="1">
              <a:off x="356" y="599"/>
              <a:ext cx="251" cy="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07" name="Line 47"/>
            <xdr:cNvSpPr>
              <a:spLocks noChangeShapeType="1"/>
            </xdr:cNvSpPr>
          </xdr:nvSpPr>
          <xdr:spPr bwMode="auto">
            <a:xfrm>
              <a:off x="599" y="588"/>
              <a:ext cx="58"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708" name="Line 48"/>
            <xdr:cNvSpPr>
              <a:spLocks noChangeShapeType="1"/>
            </xdr:cNvSpPr>
          </xdr:nvSpPr>
          <xdr:spPr bwMode="auto">
            <a:xfrm>
              <a:off x="335" y="580"/>
              <a:ext cx="272" cy="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09" name="Line 49"/>
            <xdr:cNvSpPr>
              <a:spLocks noChangeShapeType="1"/>
            </xdr:cNvSpPr>
          </xdr:nvSpPr>
          <xdr:spPr bwMode="auto">
            <a:xfrm flipH="1">
              <a:off x="348" y="588"/>
              <a:ext cx="259" cy="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690" name="Line 50"/>
          <xdr:cNvSpPr>
            <a:spLocks noChangeShapeType="1"/>
          </xdr:cNvSpPr>
        </xdr:nvSpPr>
        <xdr:spPr bwMode="auto">
          <a:xfrm>
            <a:off x="170" y="613"/>
            <a:ext cx="0" cy="56"/>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91" name="Line 51"/>
          <xdr:cNvSpPr>
            <a:spLocks noChangeShapeType="1"/>
          </xdr:cNvSpPr>
        </xdr:nvSpPr>
        <xdr:spPr bwMode="auto">
          <a:xfrm>
            <a:off x="170" y="671"/>
            <a:ext cx="0" cy="61"/>
          </a:xfrm>
          <a:prstGeom prst="line">
            <a:avLst/>
          </a:prstGeom>
          <a:noFill/>
          <a:ln w="762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92" name="Line 52"/>
          <xdr:cNvSpPr>
            <a:spLocks noChangeShapeType="1"/>
          </xdr:cNvSpPr>
        </xdr:nvSpPr>
        <xdr:spPr bwMode="auto">
          <a:xfrm>
            <a:off x="184" y="596"/>
            <a:ext cx="0" cy="7"/>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93" name="Line 53"/>
          <xdr:cNvSpPr>
            <a:spLocks noChangeShapeType="1"/>
          </xdr:cNvSpPr>
        </xdr:nvSpPr>
        <xdr:spPr bwMode="auto">
          <a:xfrm>
            <a:off x="184" y="604"/>
            <a:ext cx="0" cy="7"/>
          </a:xfrm>
          <a:prstGeom prst="line">
            <a:avLst/>
          </a:prstGeom>
          <a:noFill/>
          <a:ln w="762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94" name="Line 54"/>
          <xdr:cNvSpPr>
            <a:spLocks noChangeShapeType="1"/>
          </xdr:cNvSpPr>
        </xdr:nvSpPr>
        <xdr:spPr bwMode="auto">
          <a:xfrm>
            <a:off x="583" y="674"/>
            <a:ext cx="0" cy="61"/>
          </a:xfrm>
          <a:prstGeom prst="line">
            <a:avLst/>
          </a:prstGeom>
          <a:noFill/>
          <a:ln w="762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95" name="Line 55"/>
          <xdr:cNvSpPr>
            <a:spLocks noChangeShapeType="1"/>
          </xdr:cNvSpPr>
        </xdr:nvSpPr>
        <xdr:spPr bwMode="auto">
          <a:xfrm>
            <a:off x="583" y="616"/>
            <a:ext cx="0" cy="56"/>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96" name="Line 56"/>
          <xdr:cNvSpPr>
            <a:spLocks noChangeShapeType="1"/>
          </xdr:cNvSpPr>
        </xdr:nvSpPr>
        <xdr:spPr bwMode="auto">
          <a:xfrm>
            <a:off x="170" y="733"/>
            <a:ext cx="0" cy="43"/>
          </a:xfrm>
          <a:prstGeom prst="line">
            <a:avLst/>
          </a:prstGeom>
          <a:noFill/>
          <a:ln w="76200">
            <a:solidFill>
              <a:srgbClr val="FFCC00"/>
            </a:solidFill>
            <a:round/>
            <a:headEnd/>
            <a:tailEnd/>
          </a:ln>
          <a:extLst>
            <a:ext uri="{909E8E84-426E-40DD-AFC4-6F175D3DCCD1}">
              <a14:hiddenFill xmlns:a14="http://schemas.microsoft.com/office/drawing/2010/main">
                <a:noFill/>
              </a14:hiddenFill>
            </a:ext>
          </a:extLst>
        </xdr:spPr>
      </xdr:sp>
      <xdr:sp macro="" textlink="">
        <xdr:nvSpPr>
          <xdr:cNvPr id="697" name="Line 57"/>
          <xdr:cNvSpPr>
            <a:spLocks noChangeShapeType="1"/>
          </xdr:cNvSpPr>
        </xdr:nvSpPr>
        <xdr:spPr bwMode="auto">
          <a:xfrm>
            <a:off x="583" y="736"/>
            <a:ext cx="0" cy="43"/>
          </a:xfrm>
          <a:prstGeom prst="line">
            <a:avLst/>
          </a:prstGeom>
          <a:noFill/>
          <a:ln w="76200">
            <a:solidFill>
              <a:srgbClr val="FFCC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447675</xdr:colOff>
      <xdr:row>250</xdr:row>
      <xdr:rowOff>133350</xdr:rowOff>
    </xdr:from>
    <xdr:to>
      <xdr:col>10</xdr:col>
      <xdr:colOff>676275</xdr:colOff>
      <xdr:row>263</xdr:row>
      <xdr:rowOff>76200</xdr:rowOff>
    </xdr:to>
    <xdr:grpSp>
      <xdr:nvGrpSpPr>
        <xdr:cNvPr id="715" name="Group 26"/>
        <xdr:cNvGrpSpPr>
          <a:grpSpLocks/>
        </xdr:cNvGrpSpPr>
      </xdr:nvGrpSpPr>
      <xdr:grpSpPr bwMode="auto">
        <a:xfrm>
          <a:off x="5534025" y="41214675"/>
          <a:ext cx="4800600" cy="2047875"/>
          <a:chOff x="155" y="318"/>
          <a:chExt cx="504" cy="215"/>
        </a:xfrm>
      </xdr:grpSpPr>
      <xdr:sp macro="" textlink="">
        <xdr:nvSpPr>
          <xdr:cNvPr id="716" name="Oval 1"/>
          <xdr:cNvSpPr>
            <a:spLocks noChangeArrowheads="1"/>
          </xdr:cNvSpPr>
        </xdr:nvSpPr>
        <xdr:spPr bwMode="auto">
          <a:xfrm>
            <a:off x="261" y="361"/>
            <a:ext cx="38" cy="32"/>
          </a:xfrm>
          <a:prstGeom prst="ellipse">
            <a:avLst/>
          </a:prstGeom>
          <a:solidFill>
            <a:srgbClr val="FFFFFF"/>
          </a:solidFill>
          <a:ln w="9525">
            <a:solidFill>
              <a:srgbClr val="000000"/>
            </a:solidFill>
            <a:round/>
            <a:headEnd/>
            <a:tailEnd/>
          </a:ln>
        </xdr:spPr>
      </xdr:sp>
      <xdr:sp macro="" textlink="">
        <xdr:nvSpPr>
          <xdr:cNvPr id="717" name="Rectangle 2"/>
          <xdr:cNvSpPr>
            <a:spLocks noChangeArrowheads="1"/>
          </xdr:cNvSpPr>
        </xdr:nvSpPr>
        <xdr:spPr bwMode="auto">
          <a:xfrm>
            <a:off x="265" y="394"/>
            <a:ext cx="31" cy="139"/>
          </a:xfrm>
          <a:prstGeom prst="rect">
            <a:avLst/>
          </a:prstGeom>
          <a:solidFill>
            <a:srgbClr val="FFFFFF"/>
          </a:solidFill>
          <a:ln w="9525">
            <a:solidFill>
              <a:srgbClr val="000000"/>
            </a:solidFill>
            <a:miter lim="800000"/>
            <a:headEnd/>
            <a:tailEnd/>
          </a:ln>
        </xdr:spPr>
      </xdr:sp>
      <xdr:sp macro="" textlink="">
        <xdr:nvSpPr>
          <xdr:cNvPr id="718" name="Rectangle 3"/>
          <xdr:cNvSpPr>
            <a:spLocks noChangeArrowheads="1"/>
          </xdr:cNvSpPr>
        </xdr:nvSpPr>
        <xdr:spPr bwMode="auto">
          <a:xfrm>
            <a:off x="190" y="318"/>
            <a:ext cx="324" cy="21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19" name="Line 4"/>
          <xdr:cNvSpPr>
            <a:spLocks noChangeShapeType="1"/>
          </xdr:cNvSpPr>
        </xdr:nvSpPr>
        <xdr:spPr bwMode="auto">
          <a:xfrm>
            <a:off x="155" y="378"/>
            <a:ext cx="4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0" name="Line 5"/>
          <xdr:cNvSpPr>
            <a:spLocks noChangeShapeType="1"/>
          </xdr:cNvSpPr>
        </xdr:nvSpPr>
        <xdr:spPr bwMode="auto">
          <a:xfrm>
            <a:off x="158" y="450"/>
            <a:ext cx="4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1" name="Line 6"/>
          <xdr:cNvSpPr>
            <a:spLocks noChangeShapeType="1"/>
          </xdr:cNvSpPr>
        </xdr:nvSpPr>
        <xdr:spPr bwMode="auto">
          <a:xfrm>
            <a:off x="162" y="497"/>
            <a:ext cx="4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2" name="Text Box 7"/>
          <xdr:cNvSpPr txBox="1">
            <a:spLocks noChangeArrowheads="1"/>
          </xdr:cNvSpPr>
        </xdr:nvSpPr>
        <xdr:spPr bwMode="auto">
          <a:xfrm>
            <a:off x="588" y="368"/>
            <a:ext cx="62" cy="18"/>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172 cm</a:t>
            </a:r>
          </a:p>
        </xdr:txBody>
      </xdr:sp>
      <xdr:sp macro="" textlink="">
        <xdr:nvSpPr>
          <xdr:cNvPr id="723" name="Text Box 8"/>
          <xdr:cNvSpPr txBox="1">
            <a:spLocks noChangeArrowheads="1"/>
          </xdr:cNvSpPr>
        </xdr:nvSpPr>
        <xdr:spPr bwMode="auto">
          <a:xfrm>
            <a:off x="593" y="440"/>
            <a:ext cx="62" cy="18"/>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115 cm</a:t>
            </a:r>
          </a:p>
        </xdr:txBody>
      </xdr:sp>
      <xdr:sp macro="" textlink="">
        <xdr:nvSpPr>
          <xdr:cNvPr id="724" name="Text Box 9"/>
          <xdr:cNvSpPr txBox="1">
            <a:spLocks noChangeArrowheads="1"/>
          </xdr:cNvSpPr>
        </xdr:nvSpPr>
        <xdr:spPr bwMode="auto">
          <a:xfrm>
            <a:off x="597" y="486"/>
            <a:ext cx="62" cy="18"/>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50 cm</a:t>
            </a:r>
          </a:p>
        </xdr:txBody>
      </xdr:sp>
      <xdr:sp macro="" textlink="">
        <xdr:nvSpPr>
          <xdr:cNvPr id="725" name="Text Box 13"/>
          <xdr:cNvSpPr txBox="1">
            <a:spLocks noChangeArrowheads="1"/>
          </xdr:cNvSpPr>
        </xdr:nvSpPr>
        <xdr:spPr bwMode="auto">
          <a:xfrm>
            <a:off x="545" y="405"/>
            <a:ext cx="62"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FF0000"/>
                </a:solidFill>
                <a:latin typeface="Arial"/>
                <a:cs typeface="Arial"/>
              </a:rPr>
              <a:t>X</a:t>
            </a: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X cm</a:t>
            </a:r>
          </a:p>
        </xdr:txBody>
      </xdr:sp>
      <xdr:grpSp>
        <xdr:nvGrpSpPr>
          <xdr:cNvPr id="726" name="Group 17"/>
          <xdr:cNvGrpSpPr>
            <a:grpSpLocks/>
          </xdr:cNvGrpSpPr>
        </xdr:nvGrpSpPr>
        <xdr:grpSpPr bwMode="auto">
          <a:xfrm>
            <a:off x="470" y="378"/>
            <a:ext cx="68" cy="72"/>
            <a:chOff x="470" y="378"/>
            <a:chExt cx="68" cy="72"/>
          </a:xfrm>
        </xdr:grpSpPr>
        <xdr:sp macro="" textlink="">
          <xdr:nvSpPr>
            <xdr:cNvPr id="735" name="Line 12"/>
            <xdr:cNvSpPr>
              <a:spLocks noChangeShapeType="1"/>
            </xdr:cNvSpPr>
          </xdr:nvSpPr>
          <xdr:spPr bwMode="auto">
            <a:xfrm>
              <a:off x="470" y="414"/>
              <a:ext cx="68"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736" name="Line 16"/>
            <xdr:cNvSpPr>
              <a:spLocks noChangeShapeType="1"/>
            </xdr:cNvSpPr>
          </xdr:nvSpPr>
          <xdr:spPr bwMode="auto">
            <a:xfrm>
              <a:off x="470" y="378"/>
              <a:ext cx="0" cy="72"/>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grpSp>
        <xdr:nvGrpSpPr>
          <xdr:cNvPr id="727" name="Group 18"/>
          <xdr:cNvGrpSpPr>
            <a:grpSpLocks/>
          </xdr:cNvGrpSpPr>
        </xdr:nvGrpSpPr>
        <xdr:grpSpPr bwMode="auto">
          <a:xfrm>
            <a:off x="430" y="380"/>
            <a:ext cx="111" cy="118"/>
            <a:chOff x="470" y="378"/>
            <a:chExt cx="68" cy="72"/>
          </a:xfrm>
        </xdr:grpSpPr>
        <xdr:sp macro="" textlink="">
          <xdr:nvSpPr>
            <xdr:cNvPr id="733" name="Line 19"/>
            <xdr:cNvSpPr>
              <a:spLocks noChangeShapeType="1"/>
            </xdr:cNvSpPr>
          </xdr:nvSpPr>
          <xdr:spPr bwMode="auto">
            <a:xfrm>
              <a:off x="470" y="414"/>
              <a:ext cx="68"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734" name="Line 20"/>
            <xdr:cNvSpPr>
              <a:spLocks noChangeShapeType="1"/>
            </xdr:cNvSpPr>
          </xdr:nvSpPr>
          <xdr:spPr bwMode="auto">
            <a:xfrm>
              <a:off x="470" y="378"/>
              <a:ext cx="0" cy="7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grpSp>
      <xdr:sp macro="" textlink="">
        <xdr:nvSpPr>
          <xdr:cNvPr id="728" name="Text Box 21"/>
          <xdr:cNvSpPr txBox="1">
            <a:spLocks noChangeArrowheads="1"/>
          </xdr:cNvSpPr>
        </xdr:nvSpPr>
        <xdr:spPr bwMode="auto">
          <a:xfrm>
            <a:off x="547" y="430"/>
            <a:ext cx="62"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FF"/>
                </a:solidFill>
                <a:latin typeface="Arial"/>
                <a:cs typeface="Arial"/>
              </a:rPr>
              <a:t>y</a:t>
            </a: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X cm</a:t>
            </a:r>
          </a:p>
        </xdr:txBody>
      </xdr:sp>
      <xdr:sp macro="" textlink="">
        <xdr:nvSpPr>
          <xdr:cNvPr id="729" name="Line 22"/>
          <xdr:cNvSpPr>
            <a:spLocks noChangeShapeType="1"/>
          </xdr:cNvSpPr>
        </xdr:nvSpPr>
        <xdr:spPr bwMode="auto">
          <a:xfrm>
            <a:off x="289" y="378"/>
            <a:ext cx="225" cy="6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730" name="Line 23"/>
          <xdr:cNvSpPr>
            <a:spLocks noChangeShapeType="1"/>
          </xdr:cNvSpPr>
        </xdr:nvSpPr>
        <xdr:spPr bwMode="auto">
          <a:xfrm flipH="1">
            <a:off x="296" y="440"/>
            <a:ext cx="219" cy="56"/>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731" name="Line 24"/>
          <xdr:cNvSpPr>
            <a:spLocks noChangeShapeType="1"/>
          </xdr:cNvSpPr>
        </xdr:nvSpPr>
        <xdr:spPr bwMode="auto">
          <a:xfrm>
            <a:off x="291" y="379"/>
            <a:ext cx="223" cy="3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732" name="Line 25"/>
          <xdr:cNvSpPr>
            <a:spLocks noChangeShapeType="1"/>
          </xdr:cNvSpPr>
        </xdr:nvSpPr>
        <xdr:spPr bwMode="auto">
          <a:xfrm flipH="1">
            <a:off x="297" y="413"/>
            <a:ext cx="216" cy="3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190500</xdr:colOff>
      <xdr:row>274</xdr:row>
      <xdr:rowOff>95250</xdr:rowOff>
    </xdr:from>
    <xdr:to>
      <xdr:col>10</xdr:col>
      <xdr:colOff>419100</xdr:colOff>
      <xdr:row>287</xdr:row>
      <xdr:rowOff>38100</xdr:rowOff>
    </xdr:to>
    <xdr:grpSp>
      <xdr:nvGrpSpPr>
        <xdr:cNvPr id="737" name="Group 50"/>
        <xdr:cNvGrpSpPr>
          <a:grpSpLocks/>
        </xdr:cNvGrpSpPr>
      </xdr:nvGrpSpPr>
      <xdr:grpSpPr bwMode="auto">
        <a:xfrm>
          <a:off x="5276850" y="45062775"/>
          <a:ext cx="4800600" cy="2047875"/>
          <a:chOff x="336" y="719"/>
          <a:chExt cx="504" cy="215"/>
        </a:xfrm>
      </xdr:grpSpPr>
      <xdr:sp macro="" textlink="">
        <xdr:nvSpPr>
          <xdr:cNvPr id="738" name="Oval 28"/>
          <xdr:cNvSpPr>
            <a:spLocks noChangeArrowheads="1"/>
          </xdr:cNvSpPr>
        </xdr:nvSpPr>
        <xdr:spPr bwMode="auto">
          <a:xfrm>
            <a:off x="442" y="762"/>
            <a:ext cx="38" cy="32"/>
          </a:xfrm>
          <a:prstGeom prst="ellipse">
            <a:avLst/>
          </a:prstGeom>
          <a:solidFill>
            <a:srgbClr val="FFFFFF"/>
          </a:solidFill>
          <a:ln w="9525">
            <a:solidFill>
              <a:srgbClr val="000000"/>
            </a:solidFill>
            <a:round/>
            <a:headEnd/>
            <a:tailEnd/>
          </a:ln>
        </xdr:spPr>
      </xdr:sp>
      <xdr:sp macro="" textlink="">
        <xdr:nvSpPr>
          <xdr:cNvPr id="739" name="Rectangle 29"/>
          <xdr:cNvSpPr>
            <a:spLocks noChangeArrowheads="1"/>
          </xdr:cNvSpPr>
        </xdr:nvSpPr>
        <xdr:spPr bwMode="auto">
          <a:xfrm>
            <a:off x="446" y="795"/>
            <a:ext cx="31" cy="139"/>
          </a:xfrm>
          <a:prstGeom prst="rect">
            <a:avLst/>
          </a:prstGeom>
          <a:solidFill>
            <a:srgbClr val="FFFFFF"/>
          </a:solidFill>
          <a:ln w="9525">
            <a:solidFill>
              <a:srgbClr val="000000"/>
            </a:solidFill>
            <a:miter lim="800000"/>
            <a:headEnd/>
            <a:tailEnd/>
          </a:ln>
        </xdr:spPr>
      </xdr:sp>
      <xdr:sp macro="" textlink="">
        <xdr:nvSpPr>
          <xdr:cNvPr id="740" name="Rectangle 30"/>
          <xdr:cNvSpPr>
            <a:spLocks noChangeArrowheads="1"/>
          </xdr:cNvSpPr>
        </xdr:nvSpPr>
        <xdr:spPr bwMode="auto">
          <a:xfrm>
            <a:off x="371" y="719"/>
            <a:ext cx="324" cy="21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41" name="Line 31"/>
          <xdr:cNvSpPr>
            <a:spLocks noChangeShapeType="1"/>
          </xdr:cNvSpPr>
        </xdr:nvSpPr>
        <xdr:spPr bwMode="auto">
          <a:xfrm>
            <a:off x="336" y="779"/>
            <a:ext cx="4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2" name="Line 32"/>
          <xdr:cNvSpPr>
            <a:spLocks noChangeShapeType="1"/>
          </xdr:cNvSpPr>
        </xdr:nvSpPr>
        <xdr:spPr bwMode="auto">
          <a:xfrm>
            <a:off x="339" y="851"/>
            <a:ext cx="4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3" name="Line 33"/>
          <xdr:cNvSpPr>
            <a:spLocks noChangeShapeType="1"/>
          </xdr:cNvSpPr>
        </xdr:nvSpPr>
        <xdr:spPr bwMode="auto">
          <a:xfrm>
            <a:off x="343" y="898"/>
            <a:ext cx="4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4" name="Text Box 34"/>
          <xdr:cNvSpPr txBox="1">
            <a:spLocks noChangeArrowheads="1"/>
          </xdr:cNvSpPr>
        </xdr:nvSpPr>
        <xdr:spPr bwMode="auto">
          <a:xfrm>
            <a:off x="769" y="769"/>
            <a:ext cx="62" cy="18"/>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172 cm</a:t>
            </a:r>
          </a:p>
        </xdr:txBody>
      </xdr:sp>
      <xdr:sp macro="" textlink="">
        <xdr:nvSpPr>
          <xdr:cNvPr id="745" name="Text Box 35"/>
          <xdr:cNvSpPr txBox="1">
            <a:spLocks noChangeArrowheads="1"/>
          </xdr:cNvSpPr>
        </xdr:nvSpPr>
        <xdr:spPr bwMode="auto">
          <a:xfrm>
            <a:off x="774" y="841"/>
            <a:ext cx="62" cy="18"/>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115 cm</a:t>
            </a:r>
          </a:p>
        </xdr:txBody>
      </xdr:sp>
      <xdr:sp macro="" textlink="">
        <xdr:nvSpPr>
          <xdr:cNvPr id="746" name="Text Box 36"/>
          <xdr:cNvSpPr txBox="1">
            <a:spLocks noChangeArrowheads="1"/>
          </xdr:cNvSpPr>
        </xdr:nvSpPr>
        <xdr:spPr bwMode="auto">
          <a:xfrm>
            <a:off x="778" y="887"/>
            <a:ext cx="62" cy="18"/>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50 cm</a:t>
            </a:r>
          </a:p>
        </xdr:txBody>
      </xdr:sp>
      <xdr:sp macro="" textlink="">
        <xdr:nvSpPr>
          <xdr:cNvPr id="747" name="Text Box 37"/>
          <xdr:cNvSpPr txBox="1">
            <a:spLocks noChangeArrowheads="1"/>
          </xdr:cNvSpPr>
        </xdr:nvSpPr>
        <xdr:spPr bwMode="auto">
          <a:xfrm>
            <a:off x="726" y="806"/>
            <a:ext cx="62"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FF0000"/>
                </a:solidFill>
                <a:latin typeface="Arial"/>
                <a:cs typeface="Arial"/>
              </a:rPr>
              <a:t>X</a:t>
            </a: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X cm</a:t>
            </a:r>
          </a:p>
        </xdr:txBody>
      </xdr:sp>
      <xdr:grpSp>
        <xdr:nvGrpSpPr>
          <xdr:cNvPr id="748" name="Group 38"/>
          <xdr:cNvGrpSpPr>
            <a:grpSpLocks/>
          </xdr:cNvGrpSpPr>
        </xdr:nvGrpSpPr>
        <xdr:grpSpPr bwMode="auto">
          <a:xfrm>
            <a:off x="651" y="779"/>
            <a:ext cx="68" cy="72"/>
            <a:chOff x="470" y="378"/>
            <a:chExt cx="68" cy="72"/>
          </a:xfrm>
        </xdr:grpSpPr>
        <xdr:sp macro="" textlink="">
          <xdr:nvSpPr>
            <xdr:cNvPr id="758" name="Line 39"/>
            <xdr:cNvSpPr>
              <a:spLocks noChangeShapeType="1"/>
            </xdr:cNvSpPr>
          </xdr:nvSpPr>
          <xdr:spPr bwMode="auto">
            <a:xfrm>
              <a:off x="470" y="414"/>
              <a:ext cx="68"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759" name="Line 40"/>
            <xdr:cNvSpPr>
              <a:spLocks noChangeShapeType="1"/>
            </xdr:cNvSpPr>
          </xdr:nvSpPr>
          <xdr:spPr bwMode="auto">
            <a:xfrm>
              <a:off x="470" y="378"/>
              <a:ext cx="0" cy="72"/>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grpSp>
        <xdr:nvGrpSpPr>
          <xdr:cNvPr id="749" name="Group 41"/>
          <xdr:cNvGrpSpPr>
            <a:grpSpLocks/>
          </xdr:cNvGrpSpPr>
        </xdr:nvGrpSpPr>
        <xdr:grpSpPr bwMode="auto">
          <a:xfrm>
            <a:off x="611" y="781"/>
            <a:ext cx="111" cy="118"/>
            <a:chOff x="470" y="378"/>
            <a:chExt cx="68" cy="72"/>
          </a:xfrm>
        </xdr:grpSpPr>
        <xdr:sp macro="" textlink="">
          <xdr:nvSpPr>
            <xdr:cNvPr id="756" name="Line 42"/>
            <xdr:cNvSpPr>
              <a:spLocks noChangeShapeType="1"/>
            </xdr:cNvSpPr>
          </xdr:nvSpPr>
          <xdr:spPr bwMode="auto">
            <a:xfrm>
              <a:off x="470" y="414"/>
              <a:ext cx="68"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757" name="Line 43"/>
            <xdr:cNvSpPr>
              <a:spLocks noChangeShapeType="1"/>
            </xdr:cNvSpPr>
          </xdr:nvSpPr>
          <xdr:spPr bwMode="auto">
            <a:xfrm>
              <a:off x="470" y="378"/>
              <a:ext cx="0" cy="7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grpSp>
      <xdr:sp macro="" textlink="">
        <xdr:nvSpPr>
          <xdr:cNvPr id="750" name="Text Box 44"/>
          <xdr:cNvSpPr txBox="1">
            <a:spLocks noChangeArrowheads="1"/>
          </xdr:cNvSpPr>
        </xdr:nvSpPr>
        <xdr:spPr bwMode="auto">
          <a:xfrm>
            <a:off x="728" y="831"/>
            <a:ext cx="62"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FF"/>
                </a:solidFill>
                <a:latin typeface="Arial"/>
                <a:cs typeface="Arial"/>
              </a:rPr>
              <a:t>y</a:t>
            </a: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X cm</a:t>
            </a:r>
          </a:p>
        </xdr:txBody>
      </xdr:sp>
      <xdr:sp macro="" textlink="">
        <xdr:nvSpPr>
          <xdr:cNvPr id="751" name="Line 45"/>
          <xdr:cNvSpPr>
            <a:spLocks noChangeShapeType="1"/>
          </xdr:cNvSpPr>
        </xdr:nvSpPr>
        <xdr:spPr bwMode="auto">
          <a:xfrm>
            <a:off x="470" y="779"/>
            <a:ext cx="225" cy="6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752" name="Line 46"/>
          <xdr:cNvSpPr>
            <a:spLocks noChangeShapeType="1"/>
          </xdr:cNvSpPr>
        </xdr:nvSpPr>
        <xdr:spPr bwMode="auto">
          <a:xfrm flipH="1">
            <a:off x="477" y="841"/>
            <a:ext cx="219" cy="56"/>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753" name="Line 47"/>
          <xdr:cNvSpPr>
            <a:spLocks noChangeShapeType="1"/>
          </xdr:cNvSpPr>
        </xdr:nvSpPr>
        <xdr:spPr bwMode="auto">
          <a:xfrm>
            <a:off x="472" y="780"/>
            <a:ext cx="223" cy="3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754" name="Line 48"/>
          <xdr:cNvSpPr>
            <a:spLocks noChangeShapeType="1"/>
          </xdr:cNvSpPr>
        </xdr:nvSpPr>
        <xdr:spPr bwMode="auto">
          <a:xfrm flipH="1">
            <a:off x="478" y="814"/>
            <a:ext cx="216" cy="3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755" name="Line 49"/>
          <xdr:cNvSpPr>
            <a:spLocks noChangeShapeType="1"/>
          </xdr:cNvSpPr>
        </xdr:nvSpPr>
        <xdr:spPr bwMode="auto">
          <a:xfrm>
            <a:off x="699" y="814"/>
            <a:ext cx="0" cy="27"/>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657225</xdr:colOff>
      <xdr:row>3</xdr:row>
      <xdr:rowOff>19051</xdr:rowOff>
    </xdr:from>
    <xdr:to>
      <xdr:col>2</xdr:col>
      <xdr:colOff>1352550</xdr:colOff>
      <xdr:row>13</xdr:row>
      <xdr:rowOff>133350</xdr:rowOff>
    </xdr:to>
    <xdr:grpSp>
      <xdr:nvGrpSpPr>
        <xdr:cNvPr id="2" name="Gruppieren 1"/>
        <xdr:cNvGrpSpPr/>
      </xdr:nvGrpSpPr>
      <xdr:grpSpPr>
        <a:xfrm>
          <a:off x="657225" y="504826"/>
          <a:ext cx="4448175" cy="1733549"/>
          <a:chOff x="0" y="609601"/>
          <a:chExt cx="4962525" cy="1733549"/>
        </a:xfrm>
      </xdr:grpSpPr>
      <xdr:grpSp>
        <xdr:nvGrpSpPr>
          <xdr:cNvPr id="3" name="Gruppieren 2"/>
          <xdr:cNvGrpSpPr/>
        </xdr:nvGrpSpPr>
        <xdr:grpSpPr>
          <a:xfrm>
            <a:off x="57150" y="619125"/>
            <a:ext cx="4876800" cy="1543050"/>
            <a:chOff x="4038600" y="11811000"/>
            <a:chExt cx="2924175" cy="1543050"/>
          </a:xfrm>
        </xdr:grpSpPr>
        <xdr:grpSp>
          <xdr:nvGrpSpPr>
            <xdr:cNvPr id="8" name="Group 6"/>
            <xdr:cNvGrpSpPr>
              <a:grpSpLocks/>
            </xdr:cNvGrpSpPr>
          </xdr:nvGrpSpPr>
          <xdr:grpSpPr bwMode="auto">
            <a:xfrm>
              <a:off x="5743575" y="11811000"/>
              <a:ext cx="1219200" cy="1219200"/>
              <a:chOff x="603" y="1240"/>
              <a:chExt cx="128" cy="128"/>
            </a:xfrm>
          </xdr:grpSpPr>
          <xdr:sp macro="" textlink="">
            <xdr:nvSpPr>
              <xdr:cNvPr id="12" name="Rectangle 2"/>
              <xdr:cNvSpPr>
                <a:spLocks noChangeArrowheads="1"/>
              </xdr:cNvSpPr>
            </xdr:nvSpPr>
            <xdr:spPr bwMode="auto">
              <a:xfrm>
                <a:off x="603" y="1304"/>
                <a:ext cx="64" cy="64"/>
              </a:xfrm>
              <a:prstGeom prst="rect">
                <a:avLst/>
              </a:prstGeom>
              <a:solidFill>
                <a:srgbClr val="FFCC99"/>
              </a:solidFill>
              <a:ln w="9525">
                <a:solidFill>
                  <a:srgbClr val="000000"/>
                </a:solidFill>
                <a:miter lim="800000"/>
                <a:headEnd/>
                <a:tailEnd/>
              </a:ln>
            </xdr:spPr>
          </xdr:sp>
          <xdr:sp macro="" textlink="">
            <xdr:nvSpPr>
              <xdr:cNvPr id="13" name="Rectangle 3"/>
              <xdr:cNvSpPr>
                <a:spLocks noChangeArrowheads="1"/>
              </xdr:cNvSpPr>
            </xdr:nvSpPr>
            <xdr:spPr bwMode="auto">
              <a:xfrm>
                <a:off x="667" y="1304"/>
                <a:ext cx="64" cy="64"/>
              </a:xfrm>
              <a:prstGeom prst="rect">
                <a:avLst/>
              </a:prstGeom>
              <a:solidFill>
                <a:srgbClr val="FFCC99"/>
              </a:solidFill>
              <a:ln w="9525">
                <a:solidFill>
                  <a:srgbClr val="000000"/>
                </a:solidFill>
                <a:miter lim="800000"/>
                <a:headEnd/>
                <a:tailEnd/>
              </a:ln>
            </xdr:spPr>
          </xdr:sp>
          <xdr:sp macro="" textlink="">
            <xdr:nvSpPr>
              <xdr:cNvPr id="14" name="Rectangle 4"/>
              <xdr:cNvSpPr>
                <a:spLocks noChangeArrowheads="1"/>
              </xdr:cNvSpPr>
            </xdr:nvSpPr>
            <xdr:spPr bwMode="auto">
              <a:xfrm>
                <a:off x="667" y="1240"/>
                <a:ext cx="64" cy="64"/>
              </a:xfrm>
              <a:prstGeom prst="rect">
                <a:avLst/>
              </a:prstGeom>
              <a:solidFill>
                <a:srgbClr val="FFCC99"/>
              </a:solidFill>
              <a:ln w="9525">
                <a:solidFill>
                  <a:srgbClr val="000000"/>
                </a:solidFill>
                <a:miter lim="800000"/>
                <a:headEnd/>
                <a:tailEnd/>
              </a:ln>
            </xdr:spPr>
          </xdr:sp>
          <xdr:sp macro="" textlink="">
            <xdr:nvSpPr>
              <xdr:cNvPr id="15" name="Rectangle 5"/>
              <xdr:cNvSpPr>
                <a:spLocks noChangeArrowheads="1"/>
              </xdr:cNvSpPr>
            </xdr:nvSpPr>
            <xdr:spPr bwMode="auto">
              <a:xfrm>
                <a:off x="603" y="1240"/>
                <a:ext cx="64" cy="64"/>
              </a:xfrm>
              <a:prstGeom prst="rect">
                <a:avLst/>
              </a:prstGeom>
              <a:solidFill>
                <a:srgbClr val="FFCC99"/>
              </a:solidFill>
              <a:ln w="9525">
                <a:solidFill>
                  <a:srgbClr val="000000"/>
                </a:solidFill>
                <a:miter lim="800000"/>
                <a:headEnd/>
                <a:tailEnd/>
              </a:ln>
            </xdr:spPr>
          </xdr:sp>
        </xdr:grpSp>
        <xdr:sp macro="" textlink="">
          <xdr:nvSpPr>
            <xdr:cNvPr id="9" name="Line 7"/>
            <xdr:cNvSpPr>
              <a:spLocks noChangeShapeType="1"/>
            </xdr:cNvSpPr>
          </xdr:nvSpPr>
          <xdr:spPr bwMode="auto">
            <a:xfrm flipV="1">
              <a:off x="5219700" y="12420600"/>
              <a:ext cx="11334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Rectangle 1"/>
            <xdr:cNvSpPr>
              <a:spLocks noChangeArrowheads="1"/>
            </xdr:cNvSpPr>
          </xdr:nvSpPr>
          <xdr:spPr bwMode="auto">
            <a:xfrm>
              <a:off x="4972050" y="12573000"/>
              <a:ext cx="609600" cy="609600"/>
            </a:xfrm>
            <a:prstGeom prst="rect">
              <a:avLst/>
            </a:prstGeom>
            <a:solidFill>
              <a:srgbClr val="FFCC99"/>
            </a:solidFill>
            <a:ln w="9525">
              <a:solidFill>
                <a:srgbClr val="000000"/>
              </a:solidFill>
              <a:miter lim="800000"/>
              <a:headEnd/>
              <a:tailEnd/>
            </a:ln>
          </xdr:spPr>
        </xdr:sp>
        <xdr:sp macro="" textlink="">
          <xdr:nvSpPr>
            <xdr:cNvPr id="11" name="Line 8"/>
            <xdr:cNvSpPr>
              <a:spLocks noChangeShapeType="1"/>
            </xdr:cNvSpPr>
          </xdr:nvSpPr>
          <xdr:spPr bwMode="auto">
            <a:xfrm flipV="1">
              <a:off x="4038600" y="12868275"/>
              <a:ext cx="1242668"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Sonne 3"/>
          <xdr:cNvSpPr/>
        </xdr:nvSpPr>
        <xdr:spPr bwMode="auto">
          <a:xfrm>
            <a:off x="0" y="1933575"/>
            <a:ext cx="466725" cy="409575"/>
          </a:xfrm>
          <a:prstGeom prst="su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xnSp macro="">
        <xdr:nvCxnSpPr>
          <xdr:cNvPr id="5" name="Gerade Verbindung mit Pfeil 4"/>
          <xdr:cNvCxnSpPr/>
        </xdr:nvCxnSpPr>
        <xdr:spPr bwMode="auto">
          <a:xfrm flipV="1">
            <a:off x="219075" y="609601"/>
            <a:ext cx="2676525" cy="1543049"/>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6" name="Gerade Verbindung mit Pfeil 5"/>
          <xdr:cNvCxnSpPr/>
        </xdr:nvCxnSpPr>
        <xdr:spPr bwMode="auto">
          <a:xfrm flipV="1">
            <a:off x="219075" y="1838325"/>
            <a:ext cx="4724400" cy="3143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7" name="Gerade Verbindung mit Pfeil 6"/>
          <xdr:cNvCxnSpPr/>
        </xdr:nvCxnSpPr>
        <xdr:spPr bwMode="auto">
          <a:xfrm flipV="1">
            <a:off x="190500" y="628650"/>
            <a:ext cx="4772025" cy="15240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clientData/>
  </xdr:twoCellAnchor>
  <xdr:twoCellAnchor>
    <xdr:from>
      <xdr:col>4</xdr:col>
      <xdr:colOff>1969558</xdr:colOff>
      <xdr:row>232</xdr:row>
      <xdr:rowOff>135467</xdr:rowOff>
    </xdr:from>
    <xdr:to>
      <xdr:col>11</xdr:col>
      <xdr:colOff>247650</xdr:colOff>
      <xdr:row>250</xdr:row>
      <xdr:rowOff>82550</xdr:rowOff>
    </xdr:to>
    <xdr:sp macro="" textlink="">
      <xdr:nvSpPr>
        <xdr:cNvPr id="16" name="Textfeld 15"/>
        <xdr:cNvSpPr txBox="1"/>
      </xdr:nvSpPr>
      <xdr:spPr>
        <a:xfrm>
          <a:off x="8579908" y="37730642"/>
          <a:ext cx="5145617" cy="2861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mn-lt"/>
              <a:ea typeface="+mn-ea"/>
              <a:cs typeface="+mn-cs"/>
            </a:rPr>
            <a:t>Hinweise:</a:t>
          </a:r>
          <a:r>
            <a:rPr lang="de-DE"/>
            <a:t> </a:t>
          </a:r>
          <a:endParaRPr lang="de-DE" sz="1100" b="0" i="0" u="none" strike="noStrike">
            <a:solidFill>
              <a:schemeClr val="dk1"/>
            </a:solidFill>
            <a:effectLst/>
            <a:latin typeface="+mn-lt"/>
            <a:ea typeface="+mn-ea"/>
            <a:cs typeface="+mn-cs"/>
          </a:endParaRP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Bildbreite und -höhe ändern sich wie der Projektionsabstand</a:t>
          </a:r>
          <a:r>
            <a:rPr lang="de-DE"/>
            <a:t> </a:t>
          </a:r>
          <a:br>
            <a:rPr lang="de-DE"/>
          </a:br>
          <a:r>
            <a:rPr lang="de-DE" sz="1100" b="0" i="0" u="none" strike="noStrike">
              <a:solidFill>
                <a:schemeClr val="dk1"/>
              </a:solidFill>
              <a:effectLst/>
              <a:latin typeface="+mn-lt"/>
              <a:ea typeface="+mn-ea"/>
              <a:cs typeface="+mn-cs"/>
            </a:rPr>
            <a:t>Die Helligkeit ändert sich mit dem Quadrat des Abstand-Änderungsfaktors</a:t>
          </a:r>
          <a:r>
            <a:rPr lang="de-DE"/>
            <a:t> </a:t>
          </a:r>
          <a:br>
            <a:rPr lang="de-DE"/>
          </a:br>
          <a:r>
            <a:rPr lang="de-DE" sz="1100" b="0" i="0" u="none" strike="noStrike">
              <a:solidFill>
                <a:schemeClr val="dk1"/>
              </a:solidFill>
              <a:effectLst/>
              <a:latin typeface="+mn-lt"/>
              <a:ea typeface="+mn-ea"/>
              <a:cs typeface="+mn-cs"/>
            </a:rPr>
            <a:t>Die Helligkeit ändert sich wie die Fläche, aber umgekehrt proportional</a:t>
          </a:r>
          <a:r>
            <a:rPr lang="de-DE"/>
            <a:t> </a:t>
          </a:r>
          <a:br>
            <a:rPr lang="de-DE"/>
          </a:br>
          <a:r>
            <a:rPr lang="de-DE" sz="1100" b="0" i="0" u="none" strike="noStrike">
              <a:solidFill>
                <a:schemeClr val="dk1"/>
              </a:solidFill>
              <a:effectLst/>
              <a:latin typeface="+mn-lt"/>
              <a:ea typeface="+mn-ea"/>
              <a:cs typeface="+mn-cs"/>
            </a:rPr>
            <a:t>Die Belichtung muss mit dem Flächenänderungsfaktor korrigiert werden.</a:t>
          </a:r>
          <a:r>
            <a:rPr lang="de-DE"/>
            <a:t> </a:t>
          </a:r>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br>
            <a:rPr lang="de-DE"/>
          </a:br>
          <a:r>
            <a:rPr lang="de-DE" sz="1100" b="0" i="0" u="none" strike="noStrike">
              <a:solidFill>
                <a:schemeClr val="dk1"/>
              </a:solidFill>
              <a:effectLst/>
              <a:latin typeface="+mn-lt"/>
              <a:ea typeface="+mn-ea"/>
              <a:cs typeface="+mn-cs"/>
            </a:rPr>
            <a:t>Belichtungskorrekturfaktor = 2^Stufenzahl</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br>
            <a:rPr lang="de-DE"/>
          </a:br>
          <a:r>
            <a:rPr lang="de-DE" sz="1100" b="0" i="0" u="none" strike="noStrike">
              <a:solidFill>
                <a:schemeClr val="dk1"/>
              </a:solidFill>
              <a:effectLst/>
              <a:latin typeface="+mn-lt"/>
              <a:ea typeface="+mn-ea"/>
              <a:cs typeface="+mn-cs"/>
            </a:rPr>
            <a:t>Stufenzahl = log(Belichtungskorrekturfaktor) / log(2)</a:t>
          </a:r>
          <a:r>
            <a:rPr lang="de-DE"/>
            <a:t> </a:t>
          </a:r>
          <a:r>
            <a:rPr lang="de-DE" sz="1100" b="0" i="0" u="none" strike="noStrike">
              <a:solidFill>
                <a:schemeClr val="dk1"/>
              </a:solidFill>
              <a:effectLst/>
              <a:latin typeface="+mn-lt"/>
              <a:ea typeface="+mn-ea"/>
              <a:cs typeface="+mn-cs"/>
            </a:rPr>
            <a:t/>
          </a:r>
          <a:br>
            <a:rPr lang="de-DE" sz="1100" b="0" i="0" u="none" strike="noStrike">
              <a:solidFill>
                <a:schemeClr val="dk1"/>
              </a:solidFill>
              <a:effectLst/>
              <a:latin typeface="+mn-lt"/>
              <a:ea typeface="+mn-ea"/>
              <a:cs typeface="+mn-cs"/>
            </a:rPr>
          </a:b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br>
            <a:rPr lang="de-DE"/>
          </a:br>
          <a:r>
            <a:rPr lang="de-DE" sz="1100" b="0" i="0" u="none" strike="noStrike">
              <a:solidFill>
                <a:schemeClr val="dk1"/>
              </a:solidFill>
              <a:effectLst/>
              <a:latin typeface="+mn-lt"/>
              <a:ea typeface="+mn-ea"/>
              <a:cs typeface="+mn-cs"/>
            </a:rPr>
            <a:t>Blendenzahländerungsfaktor = 1 / Neue_Höhe/Alte_Höhe</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br>
            <a:rPr lang="de-DE" sz="1100" b="0" i="0" u="none" strike="noStrike">
              <a:solidFill>
                <a:schemeClr val="dk1"/>
              </a:solidFill>
              <a:effectLst/>
              <a:latin typeface="+mn-lt"/>
              <a:ea typeface="+mn-ea"/>
              <a:cs typeface="+mn-cs"/>
            </a:rPr>
          </a:br>
          <a:r>
            <a:rPr lang="de-DE" sz="1100" b="0" i="0" u="none" strike="noStrike">
              <a:solidFill>
                <a:schemeClr val="dk1"/>
              </a:solidFill>
              <a:effectLst/>
              <a:latin typeface="+mn-lt"/>
              <a:ea typeface="+mn-ea"/>
              <a:cs typeface="+mn-cs"/>
            </a:rPr>
            <a:t>Blendenzahländerungsfaktor = 1 / Wurzel(Belichtungskorrekturfaktor)</a:t>
          </a:r>
          <a:r>
            <a:rPr lang="de-DE"/>
            <a:t> </a:t>
          </a:r>
          <a:r>
            <a:rPr lang="de-DE" sz="1100" b="0" i="0" u="none" strike="noStrike">
              <a:solidFill>
                <a:schemeClr val="dk1"/>
              </a:solidFill>
              <a:effectLst/>
              <a:latin typeface="+mn-lt"/>
              <a:ea typeface="+mn-ea"/>
              <a:cs typeface="+mn-cs"/>
            </a:rPr>
            <a:t> </a:t>
          </a:r>
          <a:r>
            <a:rPr lang="de-DE"/>
            <a:t> </a:t>
          </a:r>
          <a:br>
            <a:rPr lang="de-DE"/>
          </a:br>
          <a:r>
            <a:rPr lang="de-DE" sz="1100" b="0" i="0" u="none" strike="noStrike">
              <a:solidFill>
                <a:schemeClr val="dk1"/>
              </a:solidFill>
              <a:effectLst/>
              <a:latin typeface="+mn-lt"/>
              <a:ea typeface="+mn-ea"/>
              <a:cs typeface="+mn-cs"/>
            </a:rPr>
            <a:t>Blendenzahländerungsfaktor = 1 / Wurzel(2)^Stufenzahländerung</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br>
            <a:rPr lang="de-DE"/>
          </a:br>
          <a:r>
            <a:rPr lang="de-DE" sz="1100" b="0" i="0" u="none" strike="noStrike">
              <a:solidFill>
                <a:schemeClr val="dk1"/>
              </a:solidFill>
              <a:effectLst/>
              <a:latin typeface="+mn-lt"/>
              <a:ea typeface="+mn-ea"/>
              <a:cs typeface="+mn-cs"/>
            </a:rPr>
            <a:t>Blendenzahländerungsfaktor = 1 / 2^(Veränderung_in_Bel._stufen/2)</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endParaRPr lang="de-DE" sz="1100"/>
        </a:p>
      </xdr:txBody>
    </xdr:sp>
    <xdr:clientData/>
  </xdr:twoCellAnchor>
  <xdr:twoCellAnchor>
    <xdr:from>
      <xdr:col>2</xdr:col>
      <xdr:colOff>228601</xdr:colOff>
      <xdr:row>438</xdr:row>
      <xdr:rowOff>85726</xdr:rowOff>
    </xdr:from>
    <xdr:to>
      <xdr:col>7</xdr:col>
      <xdr:colOff>590550</xdr:colOff>
      <xdr:row>457</xdr:row>
      <xdr:rowOff>47625</xdr:rowOff>
    </xdr:to>
    <xdr:graphicFrame macro="">
      <xdr:nvGraphicFramePr>
        <xdr:cNvPr id="26" name="Diagram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620</xdr:row>
      <xdr:rowOff>104775</xdr:rowOff>
    </xdr:from>
    <xdr:to>
      <xdr:col>4</xdr:col>
      <xdr:colOff>2105025</xdr:colOff>
      <xdr:row>645</xdr:row>
      <xdr:rowOff>19050</xdr:rowOff>
    </xdr:to>
    <xdr:graphicFrame macro="">
      <xdr:nvGraphicFramePr>
        <xdr:cNvPr id="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590550</xdr:colOff>
      <xdr:row>206</xdr:row>
      <xdr:rowOff>28576</xdr:rowOff>
    </xdr:from>
    <xdr:to>
      <xdr:col>14</xdr:col>
      <xdr:colOff>73025</xdr:colOff>
      <xdr:row>229</xdr:row>
      <xdr:rowOff>133350</xdr:rowOff>
    </xdr:to>
    <xdr:sp macro="" textlink="">
      <xdr:nvSpPr>
        <xdr:cNvPr id="33" name="Textfeld 32"/>
        <xdr:cNvSpPr txBox="1"/>
      </xdr:nvSpPr>
      <xdr:spPr>
        <a:xfrm>
          <a:off x="7200900" y="33413701"/>
          <a:ext cx="8702675" cy="382904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Wenn man den Abstand verdoppelt (Aäf = 2), ändert sich die Helligkeit auf ¼, entsprechend 2 Belichtungsstufen , oder allgemein 1/Aäf². Wenn man von Blende 16 ausgeht, ist die neue, korrigierte Blende 8.</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Ergebnis: Wenn der Projektionsabstand größer wird, hier Faktor 2, muss die Blendenzahl entsprechend kleiner werden (umgekehrte Proportionalität). Der Abstandsänderungfaktor 2 führt zum Blendenzahl-Änderungsfaktor ½.</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Das könnte man mit Aäf = 1,414 (Wurzel(2) ebenso zeigen: Helligkeit = 1/Wurzel(2)² = ½. Die Blendenzahl muss entsprechend kleiner werden, also Blende 16*1/1,414 = 11.</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Man kann auch Zahlenreihen gegenüber stellen: Blendenzahlreihe und Projektionsabstandreihe, die zu immer gleichen Belichtungsintensitäten führen: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Blendenreihe: 1 | 1,4 | 2 | 2,8 | 4 | 5,6 | 8 etc. Von links nach rechts nimmt die Helligkeit jeweils auf die Hälfte (Faktor ½) der vorherigen Helligkeit ab. Die Blendenzahlen ändern sich aber mit Faktor Wurzel(2) = 1,414.</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Abstandsänderung in Metern:  1 m | 1,414 m | 2 m | 2,8 m | 4 m | 5,6 m | 8 m etc. Von links nach rechts nimmt die Helligkeit jeweils auf die Hälfte (Faktor ½) der vorherigen Helligkeit ab. Die Abstandswerte ändern sich aber mit Faktor Wurzel(2) = 1,414.</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rPr>
            <a:t>Wenn man beides kompensatorisch nutzen will, muss man den zweiten Wert bezogen auf den ersten Wert immer entgegengesetzt verändern (umgekehrt proportional). Das heißt, die neue Blendenzahl ergibt sich dadurch, dass man die ursprünglich Blendenzahl mit dem Kehrwert des Abstandsänderungsfaktors multipliziert.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xdr:col>
      <xdr:colOff>533399</xdr:colOff>
      <xdr:row>745</xdr:row>
      <xdr:rowOff>152400</xdr:rowOff>
    </xdr:from>
    <xdr:to>
      <xdr:col>2</xdr:col>
      <xdr:colOff>1743074</xdr:colOff>
      <xdr:row>747</xdr:row>
      <xdr:rowOff>66675</xdr:rowOff>
    </xdr:to>
    <xdr:sp macro="" textlink="">
      <xdr:nvSpPr>
        <xdr:cNvPr id="22" name="Freeform 1"/>
        <xdr:cNvSpPr>
          <a:spLocks/>
        </xdr:cNvSpPr>
      </xdr:nvSpPr>
      <xdr:spPr bwMode="auto">
        <a:xfrm>
          <a:off x="3390899" y="120024525"/>
          <a:ext cx="2105025" cy="238125"/>
        </a:xfrm>
        <a:custGeom>
          <a:avLst/>
          <a:gdLst>
            <a:gd name="T0" fmla="*/ 0 w 77"/>
            <a:gd name="T1" fmla="*/ 2147483647 h 15"/>
            <a:gd name="T2" fmla="*/ 2147483647 w 77"/>
            <a:gd name="T3" fmla="*/ 0 h 15"/>
            <a:gd name="T4" fmla="*/ 2147483647 w 77"/>
            <a:gd name="T5" fmla="*/ 2147483647 h 15"/>
            <a:gd name="T6" fmla="*/ 0 60000 65536"/>
            <a:gd name="T7" fmla="*/ 0 60000 65536"/>
            <a:gd name="T8" fmla="*/ 0 60000 65536"/>
            <a:gd name="T9" fmla="*/ 0 w 77"/>
            <a:gd name="T10" fmla="*/ 0 h 15"/>
            <a:gd name="T11" fmla="*/ 77 w 77"/>
            <a:gd name="T12" fmla="*/ 15 h 15"/>
          </a:gdLst>
          <a:ahLst/>
          <a:cxnLst>
            <a:cxn ang="T6">
              <a:pos x="T0" y="T1"/>
            </a:cxn>
            <a:cxn ang="T7">
              <a:pos x="T2" y="T3"/>
            </a:cxn>
            <a:cxn ang="T8">
              <a:pos x="T4" y="T5"/>
            </a:cxn>
          </a:cxnLst>
          <a:rect l="T9" t="T10" r="T11" b="T12"/>
          <a:pathLst>
            <a:path w="77" h="15">
              <a:moveTo>
                <a:pt x="0" y="13"/>
              </a:moveTo>
              <a:cubicBezTo>
                <a:pt x="9" y="6"/>
                <a:pt x="19" y="0"/>
                <a:pt x="32" y="0"/>
              </a:cubicBezTo>
              <a:cubicBezTo>
                <a:pt x="45" y="0"/>
                <a:pt x="70" y="12"/>
                <a:pt x="77" y="15"/>
              </a:cubicBez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552450</xdr:colOff>
      <xdr:row>748</xdr:row>
      <xdr:rowOff>19050</xdr:rowOff>
    </xdr:from>
    <xdr:to>
      <xdr:col>3</xdr:col>
      <xdr:colOff>657225</xdr:colOff>
      <xdr:row>748</xdr:row>
      <xdr:rowOff>114300</xdr:rowOff>
    </xdr:to>
    <xdr:sp macro="" textlink="">
      <xdr:nvSpPr>
        <xdr:cNvPr id="23" name="Freeform 2"/>
        <xdr:cNvSpPr>
          <a:spLocks/>
        </xdr:cNvSpPr>
      </xdr:nvSpPr>
      <xdr:spPr bwMode="auto">
        <a:xfrm>
          <a:off x="2847975" y="14601825"/>
          <a:ext cx="1485900" cy="95250"/>
        </a:xfrm>
        <a:custGeom>
          <a:avLst/>
          <a:gdLst>
            <a:gd name="T0" fmla="*/ 0 w 141"/>
            <a:gd name="T1" fmla="*/ 2147483647 h 14"/>
            <a:gd name="T2" fmla="*/ 2147483647 w 141"/>
            <a:gd name="T3" fmla="*/ 2147483647 h 14"/>
            <a:gd name="T4" fmla="*/ 2147483647 w 141"/>
            <a:gd name="T5" fmla="*/ 0 h 14"/>
            <a:gd name="T6" fmla="*/ 0 60000 65536"/>
            <a:gd name="T7" fmla="*/ 0 60000 65536"/>
            <a:gd name="T8" fmla="*/ 0 60000 65536"/>
            <a:gd name="T9" fmla="*/ 0 w 141"/>
            <a:gd name="T10" fmla="*/ 0 h 14"/>
            <a:gd name="T11" fmla="*/ 141 w 141"/>
            <a:gd name="T12" fmla="*/ 14 h 14"/>
          </a:gdLst>
          <a:ahLst/>
          <a:cxnLst>
            <a:cxn ang="T6">
              <a:pos x="T0" y="T1"/>
            </a:cxn>
            <a:cxn ang="T7">
              <a:pos x="T2" y="T3"/>
            </a:cxn>
            <a:cxn ang="T8">
              <a:pos x="T4" y="T5"/>
            </a:cxn>
          </a:cxnLst>
          <a:rect l="T9" t="T10" r="T11" b="T12"/>
          <a:pathLst>
            <a:path w="141" h="14">
              <a:moveTo>
                <a:pt x="0" y="2"/>
              </a:moveTo>
              <a:cubicBezTo>
                <a:pt x="27" y="8"/>
                <a:pt x="54" y="14"/>
                <a:pt x="77" y="14"/>
              </a:cubicBezTo>
              <a:cubicBezTo>
                <a:pt x="100" y="14"/>
                <a:pt x="130" y="2"/>
                <a:pt x="141" y="0"/>
              </a:cubicBez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219075</xdr:colOff>
      <xdr:row>74</xdr:row>
      <xdr:rowOff>38100</xdr:rowOff>
    </xdr:from>
    <xdr:to>
      <xdr:col>5</xdr:col>
      <xdr:colOff>466725</xdr:colOff>
      <xdr:row>81</xdr:row>
      <xdr:rowOff>152400</xdr:rowOff>
    </xdr:to>
    <xdr:grpSp>
      <xdr:nvGrpSpPr>
        <xdr:cNvPr id="2" name="Group 9"/>
        <xdr:cNvGrpSpPr>
          <a:grpSpLocks/>
        </xdr:cNvGrpSpPr>
      </xdr:nvGrpSpPr>
      <xdr:grpSpPr bwMode="auto">
        <a:xfrm>
          <a:off x="219075" y="12240683"/>
          <a:ext cx="6999817" cy="2029884"/>
          <a:chOff x="14" y="39"/>
          <a:chExt cx="745" cy="214"/>
        </a:xfrm>
      </xdr:grpSpPr>
      <xdr:sp macro="" textlink="">
        <xdr:nvSpPr>
          <xdr:cNvPr id="3" name="Oval 1"/>
          <xdr:cNvSpPr>
            <a:spLocks noChangeAspect="1" noChangeArrowheads="1"/>
          </xdr:cNvSpPr>
        </xdr:nvSpPr>
        <xdr:spPr bwMode="auto">
          <a:xfrm>
            <a:off x="14" y="39"/>
            <a:ext cx="214" cy="214"/>
          </a:xfrm>
          <a:prstGeom prst="ellipse">
            <a:avLst/>
          </a:prstGeom>
          <a:solidFill>
            <a:srgbClr val="FFFFFF"/>
          </a:solidFill>
          <a:ln w="9525">
            <a:solidFill>
              <a:srgbClr val="000000"/>
            </a:solidFill>
            <a:round/>
            <a:headEnd/>
            <a:tailEnd/>
          </a:ln>
        </xdr:spPr>
      </xdr:sp>
      <xdr:sp macro="" textlink="">
        <xdr:nvSpPr>
          <xdr:cNvPr id="4" name="Oval 2"/>
          <xdr:cNvSpPr>
            <a:spLocks noChangeArrowheads="1"/>
          </xdr:cNvSpPr>
        </xdr:nvSpPr>
        <xdr:spPr bwMode="auto">
          <a:xfrm>
            <a:off x="283" y="68"/>
            <a:ext cx="151" cy="151"/>
          </a:xfrm>
          <a:prstGeom prst="ellipse">
            <a:avLst/>
          </a:prstGeom>
          <a:solidFill>
            <a:srgbClr val="FFFFFF"/>
          </a:solidFill>
          <a:ln w="9525">
            <a:solidFill>
              <a:srgbClr val="000000"/>
            </a:solidFill>
            <a:round/>
            <a:headEnd/>
            <a:tailEnd/>
          </a:ln>
        </xdr:spPr>
      </xdr:sp>
      <xdr:sp macro="" textlink="">
        <xdr:nvSpPr>
          <xdr:cNvPr id="5" name="Oval 3"/>
          <xdr:cNvSpPr>
            <a:spLocks noChangeArrowheads="1"/>
          </xdr:cNvSpPr>
        </xdr:nvSpPr>
        <xdr:spPr bwMode="auto">
          <a:xfrm>
            <a:off x="507" y="95"/>
            <a:ext cx="107" cy="107"/>
          </a:xfrm>
          <a:prstGeom prst="ellipse">
            <a:avLst/>
          </a:prstGeom>
          <a:solidFill>
            <a:srgbClr val="FFFFFF"/>
          </a:solidFill>
          <a:ln w="9525">
            <a:solidFill>
              <a:srgbClr val="000000"/>
            </a:solidFill>
            <a:round/>
            <a:headEnd/>
            <a:tailEnd/>
          </a:ln>
        </xdr:spPr>
      </xdr:sp>
      <xdr:sp macro="" textlink="">
        <xdr:nvSpPr>
          <xdr:cNvPr id="6" name="Oval 4"/>
          <xdr:cNvSpPr>
            <a:spLocks noChangeArrowheads="1"/>
          </xdr:cNvSpPr>
        </xdr:nvSpPr>
        <xdr:spPr bwMode="auto">
          <a:xfrm>
            <a:off x="683" y="110"/>
            <a:ext cx="76" cy="76"/>
          </a:xfrm>
          <a:prstGeom prst="ellipse">
            <a:avLst/>
          </a:prstGeom>
          <a:solidFill>
            <a:srgbClr val="FFFFFF"/>
          </a:solidFill>
          <a:ln w="9525">
            <a:solidFill>
              <a:srgbClr val="000000"/>
            </a:solidFill>
            <a:round/>
            <a:headEnd/>
            <a:tailEnd/>
          </a:ln>
        </xdr:spPr>
      </xdr:sp>
    </xdr:grpSp>
    <xdr:clientData/>
  </xdr:twoCellAnchor>
  <xdr:twoCellAnchor editAs="oneCell">
    <xdr:from>
      <xdr:col>9</xdr:col>
      <xdr:colOff>240241</xdr:colOff>
      <xdr:row>16</xdr:row>
      <xdr:rowOff>26459</xdr:rowOff>
    </xdr:from>
    <xdr:to>
      <xdr:col>10</xdr:col>
      <xdr:colOff>832908</xdr:colOff>
      <xdr:row>25</xdr:row>
      <xdr:rowOff>33867</xdr:rowOff>
    </xdr:to>
    <xdr:pic>
      <xdr:nvPicPr>
        <xdr:cNvPr id="7" name="Picture 6" descr="Ble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36741" y="2566459"/>
          <a:ext cx="1428750" cy="143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171451</xdr:colOff>
      <xdr:row>16</xdr:row>
      <xdr:rowOff>63500</xdr:rowOff>
    </xdr:from>
    <xdr:to>
      <xdr:col>16</xdr:col>
      <xdr:colOff>184125</xdr:colOff>
      <xdr:row>31</xdr:row>
      <xdr:rowOff>52917</xdr:rowOff>
    </xdr:to>
    <xdr:pic>
      <xdr:nvPicPr>
        <xdr:cNvPr id="8" name="Picture 7" descr="blen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76201" y="2603500"/>
          <a:ext cx="3060674" cy="2370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72</xdr:row>
      <xdr:rowOff>142875</xdr:rowOff>
    </xdr:from>
    <xdr:to>
      <xdr:col>10</xdr:col>
      <xdr:colOff>533400</xdr:colOff>
      <xdr:row>81</xdr:row>
      <xdr:rowOff>57150</xdr:rowOff>
    </xdr:to>
    <xdr:grpSp>
      <xdr:nvGrpSpPr>
        <xdr:cNvPr id="42" name="Group 2989"/>
        <xdr:cNvGrpSpPr>
          <a:grpSpLocks/>
        </xdr:cNvGrpSpPr>
      </xdr:nvGrpSpPr>
      <xdr:grpSpPr bwMode="auto">
        <a:xfrm>
          <a:off x="9308042" y="12027958"/>
          <a:ext cx="2157941" cy="2147359"/>
          <a:chOff x="787" y="333"/>
          <a:chExt cx="227" cy="227"/>
        </a:xfrm>
      </xdr:grpSpPr>
      <xdr:sp macro="" textlink="">
        <xdr:nvSpPr>
          <xdr:cNvPr id="43" name="Oval 2984"/>
          <xdr:cNvSpPr>
            <a:spLocks noChangeAspect="1" noChangeArrowheads="1"/>
          </xdr:cNvSpPr>
        </xdr:nvSpPr>
        <xdr:spPr bwMode="auto">
          <a:xfrm>
            <a:off x="787" y="333"/>
            <a:ext cx="227" cy="227"/>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 name="Oval 2985"/>
          <xdr:cNvSpPr>
            <a:spLocks noChangeAspect="1" noChangeArrowheads="1"/>
          </xdr:cNvSpPr>
        </xdr:nvSpPr>
        <xdr:spPr bwMode="auto">
          <a:xfrm>
            <a:off x="845" y="335"/>
            <a:ext cx="113" cy="113"/>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Oval 2986"/>
          <xdr:cNvSpPr>
            <a:spLocks noChangeAspect="1" noChangeArrowheads="1"/>
          </xdr:cNvSpPr>
        </xdr:nvSpPr>
        <xdr:spPr bwMode="auto">
          <a:xfrm>
            <a:off x="899" y="393"/>
            <a:ext cx="113" cy="113"/>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Oval 2987"/>
          <xdr:cNvSpPr>
            <a:spLocks noChangeAspect="1" noChangeArrowheads="1"/>
          </xdr:cNvSpPr>
        </xdr:nvSpPr>
        <xdr:spPr bwMode="auto">
          <a:xfrm>
            <a:off x="787" y="387"/>
            <a:ext cx="113" cy="113"/>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 name="Oval 2988"/>
          <xdr:cNvSpPr>
            <a:spLocks noChangeAspect="1" noChangeArrowheads="1"/>
          </xdr:cNvSpPr>
        </xdr:nvSpPr>
        <xdr:spPr bwMode="auto">
          <a:xfrm>
            <a:off x="842" y="445"/>
            <a:ext cx="113" cy="113"/>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371475</xdr:colOff>
      <xdr:row>175</xdr:row>
      <xdr:rowOff>95250</xdr:rowOff>
    </xdr:from>
    <xdr:to>
      <xdr:col>9</xdr:col>
      <xdr:colOff>95250</xdr:colOff>
      <xdr:row>195</xdr:row>
      <xdr:rowOff>104775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333375</xdr:colOff>
      <xdr:row>204</xdr:row>
      <xdr:rowOff>114300</xdr:rowOff>
    </xdr:from>
    <xdr:to>
      <xdr:col>14</xdr:col>
      <xdr:colOff>228600</xdr:colOff>
      <xdr:row>225</xdr:row>
      <xdr:rowOff>152400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215</xdr:row>
      <xdr:rowOff>9525</xdr:rowOff>
    </xdr:from>
    <xdr:to>
      <xdr:col>7</xdr:col>
      <xdr:colOff>257175</xdr:colOff>
      <xdr:row>241</xdr:row>
      <xdr:rowOff>133350</xdr:rowOff>
    </xdr:to>
    <xdr:grpSp>
      <xdr:nvGrpSpPr>
        <xdr:cNvPr id="4" name="Group 302"/>
        <xdr:cNvGrpSpPr>
          <a:grpSpLocks/>
        </xdr:cNvGrpSpPr>
      </xdr:nvGrpSpPr>
      <xdr:grpSpPr bwMode="auto">
        <a:xfrm>
          <a:off x="180975" y="34426525"/>
          <a:ext cx="10945283" cy="4251325"/>
          <a:chOff x="19" y="1921"/>
          <a:chExt cx="903" cy="455"/>
        </a:xfrm>
      </xdr:grpSpPr>
      <mc:AlternateContent xmlns:mc="http://schemas.openxmlformats.org/markup-compatibility/2006" xmlns:xdr14="http://schemas.microsoft.com/office/excel/2010/spreadsheetDrawing">
        <mc:Choice Requires="xdr14">
          <xdr14:contentPart xmlns:r="http://schemas.openxmlformats.org/officeDocument/2006/relationships" r:id="rId3">
            <xdr14:nvContentPartPr>
              <xdr14:cNvPr id="5" name="Ink 278"/>
              <xdr14:cNvContentPartPr>
                <a14:cpLocks xmlns:a14="http://schemas.microsoft.com/office/drawing/2010/main" noRot="1" noChangeAspect="1" noEditPoints="1" noChangeArrowheads="1" noChangeShapeType="1"/>
              </xdr14:cNvContentPartPr>
            </xdr14:nvContentPartPr>
            <xdr14:nvPr macro=""/>
            <xdr14:xfrm>
              <a:off x="19" y="1932"/>
              <a:ext cx="641" cy="56"/>
            </xdr14:xfrm>
          </xdr14:contentPart>
        </mc:Choice>
        <mc:Fallback xmlns="">
          <xdr:pic>
            <xdr:nvPicPr>
              <xdr:cNvPr id="2" name="Ink 278"/>
              <xdr:cNvPicPr>
                <a:picLocks noRot="1" noChangeAspect="1" noEditPoints="1" noChangeArrowheads="1" noChangeShapeType="1"/>
              </xdr:cNvPicPr>
            </xdr:nvPicPr>
            <xdr:blipFill>
              <a:blip xmlns:r="http://schemas.openxmlformats.org/officeDocument/2006/relationships" r:embed="rId4"/>
              <a:stretch>
                <a:fillRect/>
              </a:stretch>
            </xdr:blipFill>
            <xdr:spPr>
              <a:xfrm>
                <a:off x="19" y="1931"/>
                <a:ext cx="642" cy="57"/>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5">
            <xdr14:nvContentPartPr>
              <xdr14:cNvPr id="6" name="Ink 279"/>
              <xdr14:cNvContentPartPr>
                <a14:cpLocks xmlns:a14="http://schemas.microsoft.com/office/drawing/2010/main" noRot="1" noChangeAspect="1" noEditPoints="1" noChangeArrowheads="1" noChangeShapeType="1"/>
              </xdr14:cNvContentPartPr>
            </xdr14:nvContentPartPr>
            <xdr14:nvPr macro=""/>
            <xdr14:xfrm>
              <a:off x="96" y="1929"/>
              <a:ext cx="127" cy="38"/>
            </xdr14:xfrm>
          </xdr14:contentPart>
        </mc:Choice>
        <mc:Fallback xmlns="">
          <xdr:pic>
            <xdr:nvPicPr>
              <xdr:cNvPr id="3" name="Ink 279"/>
              <xdr:cNvPicPr>
                <a:picLocks noRot="1" noChangeAspect="1" noEditPoints="1" noChangeArrowheads="1" noChangeShapeType="1"/>
              </xdr:cNvPicPr>
            </xdr:nvPicPr>
            <xdr:blipFill>
              <a:blip xmlns:r="http://schemas.openxmlformats.org/officeDocument/2006/relationships" r:embed="rId6"/>
              <a:stretch>
                <a:fillRect/>
              </a:stretch>
            </xdr:blipFill>
            <xdr:spPr>
              <a:xfrm>
                <a:off x="96" y="1928"/>
                <a:ext cx="128" cy="3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7">
            <xdr14:nvContentPartPr>
              <xdr14:cNvPr id="7" name="Ink 280"/>
              <xdr14:cNvContentPartPr>
                <a14:cpLocks xmlns:a14="http://schemas.microsoft.com/office/drawing/2010/main" noRot="1" noChangeAspect="1" noEditPoints="1" noChangeArrowheads="1" noChangeShapeType="1"/>
              </xdr14:cNvContentPartPr>
            </xdr14:nvContentPartPr>
            <xdr14:nvPr macro=""/>
            <xdr14:xfrm>
              <a:off x="259" y="1921"/>
              <a:ext cx="618" cy="60"/>
            </xdr14:xfrm>
          </xdr14:contentPart>
        </mc:Choice>
        <mc:Fallback xmlns="">
          <xdr:pic>
            <xdr:nvPicPr>
              <xdr:cNvPr id="4" name="Ink 280"/>
              <xdr:cNvPicPr>
                <a:picLocks noRot="1" noChangeAspect="1" noEditPoints="1" noChangeArrowheads="1" noChangeShapeType="1"/>
              </xdr:cNvPicPr>
            </xdr:nvPicPr>
            <xdr:blipFill>
              <a:blip xmlns:r="http://schemas.openxmlformats.org/officeDocument/2006/relationships" r:embed="rId8"/>
              <a:stretch>
                <a:fillRect/>
              </a:stretch>
            </xdr:blipFill>
            <xdr:spPr>
              <a:xfrm>
                <a:off x="259" y="1920"/>
                <a:ext cx="619" cy="61"/>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9">
            <xdr14:nvContentPartPr>
              <xdr14:cNvPr id="8" name="Ink 281"/>
              <xdr14:cNvContentPartPr>
                <a14:cpLocks xmlns:a14="http://schemas.microsoft.com/office/drawing/2010/main" noRot="1" noChangeAspect="1" noEditPoints="1" noChangeArrowheads="1" noChangeShapeType="1"/>
              </xdr14:cNvContentPartPr>
            </xdr14:nvContentPartPr>
            <xdr14:nvPr macro=""/>
            <xdr14:xfrm>
              <a:off x="109" y="1985"/>
              <a:ext cx="170" cy="40"/>
            </xdr14:xfrm>
          </xdr14:contentPart>
        </mc:Choice>
        <mc:Fallback xmlns="">
          <xdr:pic>
            <xdr:nvPicPr>
              <xdr:cNvPr id="5" name="Ink 281"/>
              <xdr:cNvPicPr>
                <a:picLocks noRot="1" noChangeAspect="1" noEditPoints="1" noChangeArrowheads="1" noChangeShapeType="1"/>
              </xdr:cNvPicPr>
            </xdr:nvPicPr>
            <xdr:blipFill>
              <a:blip xmlns:r="http://schemas.openxmlformats.org/officeDocument/2006/relationships" r:embed="rId10"/>
              <a:stretch>
                <a:fillRect/>
              </a:stretch>
            </xdr:blipFill>
            <xdr:spPr>
              <a:xfrm>
                <a:off x="109" y="1984"/>
                <a:ext cx="171" cy="41"/>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1">
            <xdr14:nvContentPartPr>
              <xdr14:cNvPr id="9" name="Ink 282"/>
              <xdr14:cNvContentPartPr>
                <a14:cpLocks xmlns:a14="http://schemas.microsoft.com/office/drawing/2010/main" noRot="1" noChangeAspect="1" noEditPoints="1" noChangeArrowheads="1" noChangeShapeType="1"/>
              </xdr14:cNvContentPartPr>
            </xdr14:nvContentPartPr>
            <xdr14:nvPr macro=""/>
            <xdr14:xfrm>
              <a:off x="313" y="1985"/>
              <a:ext cx="14" cy="47"/>
            </xdr14:xfrm>
          </xdr14:contentPart>
        </mc:Choice>
        <mc:Fallback xmlns="">
          <xdr:pic>
            <xdr:nvPicPr>
              <xdr:cNvPr id="6" name="Ink 282"/>
              <xdr:cNvPicPr>
                <a:picLocks noRot="1" noChangeAspect="1" noEditPoints="1" noChangeArrowheads="1" noChangeShapeType="1"/>
              </xdr:cNvPicPr>
            </xdr:nvPicPr>
            <xdr:blipFill>
              <a:blip xmlns:r="http://schemas.openxmlformats.org/officeDocument/2006/relationships" r:embed="rId12"/>
              <a:stretch>
                <a:fillRect/>
              </a:stretch>
            </xdr:blipFill>
            <xdr:spPr>
              <a:xfrm>
                <a:off x="313" y="1984"/>
                <a:ext cx="15" cy="48"/>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3">
            <xdr14:nvContentPartPr>
              <xdr14:cNvPr id="10" name="Ink 283"/>
              <xdr14:cNvContentPartPr>
                <a14:cpLocks xmlns:a14="http://schemas.microsoft.com/office/drawing/2010/main" noRot="1" noChangeAspect="1" noEditPoints="1" noChangeArrowheads="1" noChangeShapeType="1"/>
              </xdr14:cNvContentPartPr>
            </xdr14:nvContentPartPr>
            <xdr14:nvPr macro=""/>
            <xdr14:xfrm>
              <a:off x="187" y="2034"/>
              <a:ext cx="258" cy="49"/>
            </xdr14:xfrm>
          </xdr14:contentPart>
        </mc:Choice>
        <mc:Fallback xmlns="">
          <xdr:pic>
            <xdr:nvPicPr>
              <xdr:cNvPr id="7" name="Ink 283"/>
              <xdr:cNvPicPr>
                <a:picLocks noRot="1" noChangeAspect="1" noEditPoints="1" noChangeArrowheads="1" noChangeShapeType="1"/>
              </xdr:cNvPicPr>
            </xdr:nvPicPr>
            <xdr:blipFill>
              <a:blip xmlns:r="http://schemas.openxmlformats.org/officeDocument/2006/relationships" r:embed="rId14"/>
              <a:stretch>
                <a:fillRect/>
              </a:stretch>
            </xdr:blipFill>
            <xdr:spPr>
              <a:xfrm>
                <a:off x="187" y="2033"/>
                <a:ext cx="259" cy="50"/>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5">
            <xdr14:nvContentPartPr>
              <xdr14:cNvPr id="11" name="Ink 284"/>
              <xdr14:cNvContentPartPr>
                <a14:cpLocks xmlns:a14="http://schemas.microsoft.com/office/drawing/2010/main" noRot="1" noChangeAspect="1" noEditPoints="1" noChangeArrowheads="1" noChangeShapeType="1"/>
              </xdr14:cNvContentPartPr>
            </xdr14:nvContentPartPr>
            <xdr14:nvPr macro=""/>
            <xdr14:xfrm>
              <a:off x="496" y="2034"/>
              <a:ext cx="53" cy="40"/>
            </xdr14:xfrm>
          </xdr14:contentPart>
        </mc:Choice>
        <mc:Fallback xmlns="">
          <xdr:pic>
            <xdr:nvPicPr>
              <xdr:cNvPr id="8" name="Ink 284"/>
              <xdr:cNvPicPr>
                <a:picLocks noRot="1" noChangeAspect="1" noEditPoints="1" noChangeArrowheads="1" noChangeShapeType="1"/>
              </xdr:cNvPicPr>
            </xdr:nvPicPr>
            <xdr:blipFill>
              <a:blip xmlns:r="http://schemas.openxmlformats.org/officeDocument/2006/relationships" r:embed="rId16"/>
              <a:stretch>
                <a:fillRect/>
              </a:stretch>
            </xdr:blipFill>
            <xdr:spPr>
              <a:xfrm>
                <a:off x="496" y="2033"/>
                <a:ext cx="54" cy="41"/>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7">
            <xdr14:nvContentPartPr>
              <xdr14:cNvPr id="12" name="Ink 285"/>
              <xdr14:cNvContentPartPr>
                <a14:cpLocks xmlns:a14="http://schemas.microsoft.com/office/drawing/2010/main" noRot="1" noChangeAspect="1" noEditPoints="1" noChangeArrowheads="1" noChangeShapeType="1"/>
              </xdr14:cNvContentPartPr>
            </xdr14:nvContentPartPr>
            <xdr14:nvPr macro=""/>
            <xdr14:xfrm>
              <a:off x="587" y="2033"/>
              <a:ext cx="183" cy="51"/>
            </xdr14:xfrm>
          </xdr14:contentPart>
        </mc:Choice>
        <mc:Fallback xmlns="">
          <xdr:pic>
            <xdr:nvPicPr>
              <xdr:cNvPr id="9" name="Ink 285"/>
              <xdr:cNvPicPr>
                <a:picLocks noRot="1" noChangeAspect="1" noEditPoints="1" noChangeArrowheads="1" noChangeShapeType="1"/>
              </xdr:cNvPicPr>
            </xdr:nvPicPr>
            <xdr:blipFill>
              <a:blip xmlns:r="http://schemas.openxmlformats.org/officeDocument/2006/relationships" r:embed="rId18"/>
              <a:stretch>
                <a:fillRect/>
              </a:stretch>
            </xdr:blipFill>
            <xdr:spPr>
              <a:xfrm>
                <a:off x="587" y="2032"/>
                <a:ext cx="184" cy="52"/>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9">
            <xdr14:nvContentPartPr>
              <xdr14:cNvPr id="13" name="Ink 286"/>
              <xdr14:cNvContentPartPr>
                <a14:cpLocks xmlns:a14="http://schemas.microsoft.com/office/drawing/2010/main" noRot="1" noChangeAspect="1" noEditPoints="1" noChangeArrowheads="1" noChangeShapeType="1"/>
              </xdr14:cNvContentPartPr>
            </xdr14:nvContentPartPr>
            <xdr14:nvPr macro=""/>
            <xdr14:xfrm>
              <a:off x="197" y="2094"/>
              <a:ext cx="85" cy="41"/>
            </xdr14:xfrm>
          </xdr14:contentPart>
        </mc:Choice>
        <mc:Fallback xmlns="">
          <xdr:pic>
            <xdr:nvPicPr>
              <xdr:cNvPr id="10" name="Ink 286"/>
              <xdr:cNvPicPr>
                <a:picLocks noRot="1" noChangeAspect="1" noEditPoints="1" noChangeArrowheads="1" noChangeShapeType="1"/>
              </xdr:cNvPicPr>
            </xdr:nvPicPr>
            <xdr:blipFill>
              <a:blip xmlns:r="http://schemas.openxmlformats.org/officeDocument/2006/relationships" r:embed="rId20"/>
              <a:stretch>
                <a:fillRect/>
              </a:stretch>
            </xdr:blipFill>
            <xdr:spPr>
              <a:xfrm>
                <a:off x="197" y="2093"/>
                <a:ext cx="86" cy="42"/>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1">
            <xdr14:nvContentPartPr>
              <xdr14:cNvPr id="14" name="Ink 287"/>
              <xdr14:cNvContentPartPr>
                <a14:cpLocks xmlns:a14="http://schemas.microsoft.com/office/drawing/2010/main" noRot="1" noChangeAspect="1" noEditPoints="1" noChangeArrowheads="1" noChangeShapeType="1"/>
              </xdr14:cNvContentPartPr>
            </xdr14:nvContentPartPr>
            <xdr14:nvPr macro=""/>
            <xdr14:xfrm>
              <a:off x="300" y="2131"/>
              <a:ext cx="5" cy="22"/>
            </xdr14:xfrm>
          </xdr14:contentPart>
        </mc:Choice>
        <mc:Fallback xmlns="">
          <xdr:pic>
            <xdr:nvPicPr>
              <xdr:cNvPr id="11" name="Ink 287"/>
              <xdr:cNvPicPr>
                <a:picLocks noRot="1" noChangeAspect="1" noEditPoints="1" noChangeArrowheads="1" noChangeShapeType="1"/>
              </xdr:cNvPicPr>
            </xdr:nvPicPr>
            <xdr:blipFill>
              <a:blip xmlns:r="http://schemas.openxmlformats.org/officeDocument/2006/relationships" r:embed="rId22"/>
              <a:stretch>
                <a:fillRect/>
              </a:stretch>
            </xdr:blipFill>
            <xdr:spPr>
              <a:xfrm>
                <a:off x="300" y="2130"/>
                <a:ext cx="6" cy="23"/>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3">
            <xdr14:nvContentPartPr>
              <xdr14:cNvPr id="15" name="Ink 288"/>
              <xdr14:cNvContentPartPr>
                <a14:cpLocks xmlns:a14="http://schemas.microsoft.com/office/drawing/2010/main" noRot="1" noChangeAspect="1" noEditPoints="1" noChangeArrowheads="1" noChangeShapeType="1"/>
              </xdr14:cNvContentPartPr>
            </xdr14:nvContentPartPr>
            <xdr14:nvPr macro=""/>
            <xdr14:xfrm>
              <a:off x="336" y="2096"/>
              <a:ext cx="56" cy="36"/>
            </xdr14:xfrm>
          </xdr14:contentPart>
        </mc:Choice>
        <mc:Fallback xmlns="">
          <xdr:pic>
            <xdr:nvPicPr>
              <xdr:cNvPr id="12" name="Ink 288"/>
              <xdr:cNvPicPr>
                <a:picLocks noRot="1" noChangeAspect="1" noEditPoints="1" noChangeArrowheads="1" noChangeShapeType="1"/>
              </xdr:cNvPicPr>
            </xdr:nvPicPr>
            <xdr:blipFill>
              <a:blip xmlns:r="http://schemas.openxmlformats.org/officeDocument/2006/relationships" r:embed="rId24"/>
              <a:stretch>
                <a:fillRect/>
              </a:stretch>
            </xdr:blipFill>
            <xdr:spPr>
              <a:xfrm>
                <a:off x="336" y="2095"/>
                <a:ext cx="57" cy="37"/>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5">
            <xdr14:nvContentPartPr>
              <xdr14:cNvPr id="16" name="Ink 289"/>
              <xdr14:cNvContentPartPr>
                <a14:cpLocks xmlns:a14="http://schemas.microsoft.com/office/drawing/2010/main" noRot="1" noChangeAspect="1" noEditPoints="1" noChangeArrowheads="1" noChangeShapeType="1"/>
              </xdr14:cNvContentPartPr>
            </xdr14:nvContentPartPr>
            <xdr14:nvPr macro=""/>
            <xdr14:xfrm>
              <a:off x="515" y="2104"/>
              <a:ext cx="28" cy="32"/>
            </xdr14:xfrm>
          </xdr14:contentPart>
        </mc:Choice>
        <mc:Fallback xmlns="">
          <xdr:pic>
            <xdr:nvPicPr>
              <xdr:cNvPr id="13" name="Ink 289"/>
              <xdr:cNvPicPr>
                <a:picLocks noRot="1" noChangeAspect="1" noEditPoints="1" noChangeArrowheads="1" noChangeShapeType="1"/>
              </xdr:cNvPicPr>
            </xdr:nvPicPr>
            <xdr:blipFill>
              <a:blip xmlns:r="http://schemas.openxmlformats.org/officeDocument/2006/relationships" r:embed="rId26"/>
              <a:stretch>
                <a:fillRect/>
              </a:stretch>
            </xdr:blipFill>
            <xdr:spPr>
              <a:xfrm>
                <a:off x="515" y="2103"/>
                <a:ext cx="29" cy="33"/>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7">
            <xdr14:nvContentPartPr>
              <xdr14:cNvPr id="17" name="Ink 290"/>
              <xdr14:cNvContentPartPr>
                <a14:cpLocks xmlns:a14="http://schemas.microsoft.com/office/drawing/2010/main" noRot="1" noChangeAspect="1" noEditPoints="1" noChangeArrowheads="1" noChangeShapeType="1"/>
              </xdr14:cNvContentPartPr>
            </xdr14:nvContentPartPr>
            <xdr14:nvPr macro=""/>
            <xdr14:xfrm>
              <a:off x="601" y="2106"/>
              <a:ext cx="68" cy="22"/>
            </xdr14:xfrm>
          </xdr14:contentPart>
        </mc:Choice>
        <mc:Fallback xmlns="">
          <xdr:pic>
            <xdr:nvPicPr>
              <xdr:cNvPr id="14" name="Ink 290"/>
              <xdr:cNvPicPr>
                <a:picLocks noRot="1" noChangeAspect="1" noEditPoints="1" noChangeArrowheads="1" noChangeShapeType="1"/>
              </xdr:cNvPicPr>
            </xdr:nvPicPr>
            <xdr:blipFill>
              <a:blip xmlns:r="http://schemas.openxmlformats.org/officeDocument/2006/relationships" r:embed="rId28"/>
              <a:stretch>
                <a:fillRect/>
              </a:stretch>
            </xdr:blipFill>
            <xdr:spPr>
              <a:xfrm>
                <a:off x="601" y="2105"/>
                <a:ext cx="69" cy="23"/>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9">
            <xdr14:nvContentPartPr>
              <xdr14:cNvPr id="18" name="Ink 291"/>
              <xdr14:cNvContentPartPr>
                <a14:cpLocks xmlns:a14="http://schemas.microsoft.com/office/drawing/2010/main" noRot="1" noChangeAspect="1" noEditPoints="1" noChangeArrowheads="1" noChangeShapeType="1"/>
              </xdr14:cNvContentPartPr>
            </xdr14:nvContentPartPr>
            <xdr14:nvPr macro=""/>
            <xdr14:xfrm>
              <a:off x="700" y="2097"/>
              <a:ext cx="61" cy="60"/>
            </xdr14:xfrm>
          </xdr14:contentPart>
        </mc:Choice>
        <mc:Fallback xmlns="">
          <xdr:pic>
            <xdr:nvPicPr>
              <xdr:cNvPr id="15" name="Ink 291"/>
              <xdr:cNvPicPr>
                <a:picLocks noRot="1" noChangeAspect="1" noEditPoints="1" noChangeArrowheads="1" noChangeShapeType="1"/>
              </xdr:cNvPicPr>
            </xdr:nvPicPr>
            <xdr:blipFill>
              <a:blip xmlns:r="http://schemas.openxmlformats.org/officeDocument/2006/relationships" r:embed="rId30"/>
              <a:stretch>
                <a:fillRect/>
              </a:stretch>
            </xdr:blipFill>
            <xdr:spPr>
              <a:xfrm>
                <a:off x="700" y="2096"/>
                <a:ext cx="62" cy="61"/>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1">
            <xdr14:nvContentPartPr>
              <xdr14:cNvPr id="19" name="Ink 292"/>
              <xdr14:cNvContentPartPr>
                <a14:cpLocks xmlns:a14="http://schemas.microsoft.com/office/drawing/2010/main" noRot="1" noChangeAspect="1" noEditPoints="1" noChangeArrowheads="1" noChangeShapeType="1"/>
              </xdr14:cNvContentPartPr>
            </xdr14:nvContentPartPr>
            <xdr14:nvPr macro=""/>
            <xdr14:xfrm>
              <a:off x="26" y="2189"/>
              <a:ext cx="643" cy="32"/>
            </xdr14:xfrm>
          </xdr14:contentPart>
        </mc:Choice>
        <mc:Fallback xmlns="">
          <xdr:pic>
            <xdr:nvPicPr>
              <xdr:cNvPr id="16" name="Ink 292"/>
              <xdr:cNvPicPr>
                <a:picLocks noRot="1" noChangeAspect="1" noEditPoints="1" noChangeArrowheads="1" noChangeShapeType="1"/>
              </xdr:cNvPicPr>
            </xdr:nvPicPr>
            <xdr:blipFill>
              <a:blip xmlns:r="http://schemas.openxmlformats.org/officeDocument/2006/relationships" r:embed="rId32"/>
              <a:stretch>
                <a:fillRect/>
              </a:stretch>
            </xdr:blipFill>
            <xdr:spPr>
              <a:xfrm>
                <a:off x="26" y="2188"/>
                <a:ext cx="644" cy="33"/>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3">
            <xdr14:nvContentPartPr>
              <xdr14:cNvPr id="20" name="Ink 293"/>
              <xdr14:cNvContentPartPr>
                <a14:cpLocks xmlns:a14="http://schemas.microsoft.com/office/drawing/2010/main" noRot="1" noChangeAspect="1" noEditPoints="1" noChangeArrowheads="1" noChangeShapeType="1"/>
              </xdr14:cNvContentPartPr>
            </xdr14:nvContentPartPr>
            <xdr14:nvPr macro=""/>
            <xdr14:xfrm>
              <a:off x="111" y="2189"/>
              <a:ext cx="154" cy="38"/>
            </xdr14:xfrm>
          </xdr14:contentPart>
        </mc:Choice>
        <mc:Fallback xmlns="">
          <xdr:pic>
            <xdr:nvPicPr>
              <xdr:cNvPr id="17" name="Ink 293"/>
              <xdr:cNvPicPr>
                <a:picLocks noRot="1" noChangeAspect="1" noEditPoints="1" noChangeArrowheads="1" noChangeShapeType="1"/>
              </xdr:cNvPicPr>
            </xdr:nvPicPr>
            <xdr:blipFill>
              <a:blip xmlns:r="http://schemas.openxmlformats.org/officeDocument/2006/relationships" r:embed="rId34"/>
              <a:stretch>
                <a:fillRect/>
              </a:stretch>
            </xdr:blipFill>
            <xdr:spPr>
              <a:xfrm>
                <a:off x="111" y="2188"/>
                <a:ext cx="155" cy="3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5">
            <xdr14:nvContentPartPr>
              <xdr14:cNvPr id="21" name="Ink 294"/>
              <xdr14:cNvContentPartPr>
                <a14:cpLocks xmlns:a14="http://schemas.microsoft.com/office/drawing/2010/main" noRot="1" noChangeAspect="1" noEditPoints="1" noChangeArrowheads="1" noChangeShapeType="1"/>
              </xdr14:cNvContentPartPr>
            </xdr14:nvContentPartPr>
            <xdr14:nvPr macro=""/>
            <xdr14:xfrm>
              <a:off x="316" y="2174"/>
              <a:ext cx="280" cy="72"/>
            </xdr14:xfrm>
          </xdr14:contentPart>
        </mc:Choice>
        <mc:Fallback xmlns="">
          <xdr:pic>
            <xdr:nvPicPr>
              <xdr:cNvPr id="18" name="Ink 294"/>
              <xdr:cNvPicPr>
                <a:picLocks noRot="1" noChangeAspect="1" noEditPoints="1" noChangeArrowheads="1" noChangeShapeType="1"/>
              </xdr:cNvPicPr>
            </xdr:nvPicPr>
            <xdr:blipFill>
              <a:blip xmlns:r="http://schemas.openxmlformats.org/officeDocument/2006/relationships" r:embed="rId36"/>
              <a:stretch>
                <a:fillRect/>
              </a:stretch>
            </xdr:blipFill>
            <xdr:spPr>
              <a:xfrm>
                <a:off x="316" y="2173"/>
                <a:ext cx="281" cy="73"/>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7">
            <xdr14:nvContentPartPr>
              <xdr14:cNvPr id="22" name="Ink 295"/>
              <xdr14:cNvContentPartPr>
                <a14:cpLocks xmlns:a14="http://schemas.microsoft.com/office/drawing/2010/main" noRot="1" noChangeAspect="1" noEditPoints="1" noChangeArrowheads="1" noChangeShapeType="1"/>
              </xdr14:cNvContentPartPr>
            </xdr14:nvContentPartPr>
            <xdr14:nvPr macro=""/>
            <xdr14:xfrm>
              <a:off x="632" y="2191"/>
              <a:ext cx="66" cy="36"/>
            </xdr14:xfrm>
          </xdr14:contentPart>
        </mc:Choice>
        <mc:Fallback xmlns="">
          <xdr:pic>
            <xdr:nvPicPr>
              <xdr:cNvPr id="19" name="Ink 295"/>
              <xdr:cNvPicPr>
                <a:picLocks noRot="1" noChangeAspect="1" noEditPoints="1" noChangeArrowheads="1" noChangeShapeType="1"/>
              </xdr:cNvPicPr>
            </xdr:nvPicPr>
            <xdr:blipFill>
              <a:blip xmlns:r="http://schemas.openxmlformats.org/officeDocument/2006/relationships" r:embed="rId38"/>
              <a:stretch>
                <a:fillRect/>
              </a:stretch>
            </xdr:blipFill>
            <xdr:spPr>
              <a:xfrm>
                <a:off x="632" y="2190"/>
                <a:ext cx="67" cy="37"/>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9">
            <xdr14:nvContentPartPr>
              <xdr14:cNvPr id="23" name="Ink 296"/>
              <xdr14:cNvContentPartPr>
                <a14:cpLocks xmlns:a14="http://schemas.microsoft.com/office/drawing/2010/main" noRot="1" noChangeAspect="1" noEditPoints="1" noChangeArrowheads="1" noChangeShapeType="1"/>
              </xdr14:cNvContentPartPr>
            </xdr14:nvContentPartPr>
            <xdr14:nvPr macro=""/>
            <xdr14:xfrm>
              <a:off x="721" y="2191"/>
              <a:ext cx="201" cy="67"/>
            </xdr14:xfrm>
          </xdr14:contentPart>
        </mc:Choice>
        <mc:Fallback xmlns="">
          <xdr:pic>
            <xdr:nvPicPr>
              <xdr:cNvPr id="20" name="Ink 296"/>
              <xdr:cNvPicPr>
                <a:picLocks noRot="1" noChangeAspect="1" noEditPoints="1" noChangeArrowheads="1" noChangeShapeType="1"/>
              </xdr:cNvPicPr>
            </xdr:nvPicPr>
            <xdr:blipFill>
              <a:blip xmlns:r="http://schemas.openxmlformats.org/officeDocument/2006/relationships" r:embed="rId40"/>
              <a:stretch>
                <a:fillRect/>
              </a:stretch>
            </xdr:blipFill>
            <xdr:spPr>
              <a:xfrm>
                <a:off x="721" y="2190"/>
                <a:ext cx="202" cy="68"/>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1">
            <xdr14:nvContentPartPr>
              <xdr14:cNvPr id="24" name="Ink 297"/>
              <xdr14:cNvContentPartPr>
                <a14:cpLocks xmlns:a14="http://schemas.microsoft.com/office/drawing/2010/main" noRot="1" noChangeAspect="1" noEditPoints="1" noChangeArrowheads="1" noChangeShapeType="1"/>
              </xdr14:cNvContentPartPr>
            </xdr14:nvContentPartPr>
            <xdr14:nvPr macro=""/>
            <xdr14:xfrm>
              <a:off x="392" y="2252"/>
              <a:ext cx="194" cy="61"/>
            </xdr14:xfrm>
          </xdr14:contentPart>
        </mc:Choice>
        <mc:Fallback xmlns="">
          <xdr:pic>
            <xdr:nvPicPr>
              <xdr:cNvPr id="21" name="Ink 297"/>
              <xdr:cNvPicPr>
                <a:picLocks noRot="1" noChangeAspect="1" noEditPoints="1" noChangeArrowheads="1" noChangeShapeType="1"/>
              </xdr:cNvPicPr>
            </xdr:nvPicPr>
            <xdr:blipFill>
              <a:blip xmlns:r="http://schemas.openxmlformats.org/officeDocument/2006/relationships" r:embed="rId42"/>
              <a:stretch>
                <a:fillRect/>
              </a:stretch>
            </xdr:blipFill>
            <xdr:spPr>
              <a:xfrm>
                <a:off x="392" y="2251"/>
                <a:ext cx="195" cy="62"/>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3">
            <xdr14:nvContentPartPr>
              <xdr14:cNvPr id="25" name="Ink 298"/>
              <xdr14:cNvContentPartPr>
                <a14:cpLocks xmlns:a14="http://schemas.microsoft.com/office/drawing/2010/main" noRot="1" noChangeAspect="1" noEditPoints="1" noChangeArrowheads="1" noChangeShapeType="1"/>
              </xdr14:cNvContentPartPr>
            </xdr14:nvContentPartPr>
            <xdr14:nvPr macro=""/>
            <xdr14:xfrm>
              <a:off x="260" y="2279"/>
              <a:ext cx="63" cy="16"/>
            </xdr14:xfrm>
          </xdr14:contentPart>
        </mc:Choice>
        <mc:Fallback xmlns="">
          <xdr:pic>
            <xdr:nvPicPr>
              <xdr:cNvPr id="22" name="Ink 298"/>
              <xdr:cNvPicPr>
                <a:picLocks noRot="1" noChangeAspect="1" noEditPoints="1" noChangeArrowheads="1" noChangeShapeType="1"/>
              </xdr:cNvPicPr>
            </xdr:nvPicPr>
            <xdr:blipFill>
              <a:blip xmlns:r="http://schemas.openxmlformats.org/officeDocument/2006/relationships" r:embed="rId44"/>
              <a:stretch>
                <a:fillRect/>
              </a:stretch>
            </xdr:blipFill>
            <xdr:spPr>
              <a:xfrm>
                <a:off x="260" y="2278"/>
                <a:ext cx="64" cy="17"/>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5">
            <xdr14:nvContentPartPr>
              <xdr14:cNvPr id="26" name="Ink 299"/>
              <xdr14:cNvContentPartPr>
                <a14:cpLocks xmlns:a14="http://schemas.microsoft.com/office/drawing/2010/main" noRot="1" noChangeAspect="1" noEditPoints="1" noChangeArrowheads="1" noChangeShapeType="1"/>
              </xdr14:cNvContentPartPr>
            </xdr14:nvContentPartPr>
            <xdr14:nvPr macro=""/>
            <xdr14:xfrm>
              <a:off x="161" y="2268"/>
              <a:ext cx="41" cy="108"/>
            </xdr14:xfrm>
          </xdr14:contentPart>
        </mc:Choice>
        <mc:Fallback xmlns="">
          <xdr:pic>
            <xdr:nvPicPr>
              <xdr:cNvPr id="23" name="Ink 299"/>
              <xdr:cNvPicPr>
                <a:picLocks noRot="1" noChangeAspect="1" noEditPoints="1" noChangeArrowheads="1" noChangeShapeType="1"/>
              </xdr:cNvPicPr>
            </xdr:nvPicPr>
            <xdr:blipFill>
              <a:blip xmlns:r="http://schemas.openxmlformats.org/officeDocument/2006/relationships" r:embed="rId46"/>
              <a:stretch>
                <a:fillRect/>
              </a:stretch>
            </xdr:blipFill>
            <xdr:spPr>
              <a:xfrm>
                <a:off x="161" y="2267"/>
                <a:ext cx="42" cy="10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7">
            <xdr14:nvContentPartPr>
              <xdr14:cNvPr id="27" name="Ink 300"/>
              <xdr14:cNvContentPartPr>
                <a14:cpLocks xmlns:a14="http://schemas.microsoft.com/office/drawing/2010/main" noRot="1" noChangeAspect="1" noEditPoints="1" noChangeArrowheads="1" noChangeShapeType="1"/>
              </xdr14:cNvContentPartPr>
            </xdr14:nvContentPartPr>
            <xdr14:nvPr macro=""/>
            <xdr14:xfrm>
              <a:off x="266" y="2352"/>
              <a:ext cx="65" cy="17"/>
            </xdr14:xfrm>
          </xdr14:contentPart>
        </mc:Choice>
        <mc:Fallback xmlns="">
          <xdr:pic>
            <xdr:nvPicPr>
              <xdr:cNvPr id="24" name="Ink 300"/>
              <xdr:cNvPicPr>
                <a:picLocks noRot="1" noChangeAspect="1" noEditPoints="1" noChangeArrowheads="1" noChangeShapeType="1"/>
              </xdr:cNvPicPr>
            </xdr:nvPicPr>
            <xdr:blipFill>
              <a:blip xmlns:r="http://schemas.openxmlformats.org/officeDocument/2006/relationships" r:embed="rId48"/>
              <a:stretch>
                <a:fillRect/>
              </a:stretch>
            </xdr:blipFill>
            <xdr:spPr>
              <a:xfrm>
                <a:off x="266" y="2351"/>
                <a:ext cx="66" cy="18"/>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9">
            <xdr14:nvContentPartPr>
              <xdr14:cNvPr id="28" name="Ink 301"/>
              <xdr14:cNvContentPartPr>
                <a14:cpLocks xmlns:a14="http://schemas.microsoft.com/office/drawing/2010/main" noRot="1" noChangeAspect="1" noEditPoints="1" noChangeArrowheads="1" noChangeShapeType="1"/>
              </xdr14:cNvContentPartPr>
            </xdr14:nvContentPartPr>
            <xdr14:nvPr macro=""/>
            <xdr14:xfrm>
              <a:off x="401" y="2322"/>
              <a:ext cx="181" cy="50"/>
            </xdr14:xfrm>
          </xdr14:contentPart>
        </mc:Choice>
        <mc:Fallback xmlns="">
          <xdr:pic>
            <xdr:nvPicPr>
              <xdr:cNvPr id="25" name="Ink 301"/>
              <xdr:cNvPicPr>
                <a:picLocks noRot="1" noChangeAspect="1" noEditPoints="1" noChangeArrowheads="1" noChangeShapeType="1"/>
              </xdr:cNvPicPr>
            </xdr:nvPicPr>
            <xdr:blipFill>
              <a:blip xmlns:r="http://schemas.openxmlformats.org/officeDocument/2006/relationships" r:embed="rId50"/>
              <a:stretch>
                <a:fillRect/>
              </a:stretch>
            </xdr:blipFill>
            <xdr:spPr>
              <a:xfrm>
                <a:off x="401" y="2321"/>
                <a:ext cx="182" cy="51"/>
              </a:xfrm>
              <a:prstGeom prst="rect">
                <a:avLst/>
              </a:prstGeom>
            </xdr:spPr>
          </xdr:pic>
        </mc:Fallback>
      </mc:AlternateContent>
    </xdr:grpSp>
    <xdr:clientData/>
  </xdr:twoCellAnchor>
  <xdr:twoCellAnchor>
    <xdr:from>
      <xdr:col>11</xdr:col>
      <xdr:colOff>393700</xdr:colOff>
      <xdr:row>103</xdr:row>
      <xdr:rowOff>88900</xdr:rowOff>
    </xdr:from>
    <xdr:to>
      <xdr:col>21</xdr:col>
      <xdr:colOff>558800</xdr:colOff>
      <xdr:row>130</xdr:row>
      <xdr:rowOff>25400</xdr:rowOff>
    </xdr:to>
    <xdr:sp macro="" textlink="">
      <xdr:nvSpPr>
        <xdr:cNvPr id="29" name="Textfeld 28"/>
        <xdr:cNvSpPr txBox="1"/>
      </xdr:nvSpPr>
      <xdr:spPr>
        <a:xfrm>
          <a:off x="12509500" y="2755900"/>
          <a:ext cx="8442325" cy="438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smtClean="0">
              <a:solidFill>
                <a:schemeClr val="dk1"/>
              </a:solidFill>
              <a:latin typeface="+mn-lt"/>
              <a:ea typeface="+mn-ea"/>
              <a:cs typeface="+mn-cs"/>
            </a:rPr>
            <a:t>Wenn man den Abstand verdoppelt (Aäf = 2), ändert sich die Helligkeit auf ¼, entsprechend 2 Belichtungsstufen , oder allgemein 1/Aäf². Wenn man von Blende 16 ausgeht, ist die neue, korrigierte Blende 8.</a:t>
          </a:r>
        </a:p>
        <a:p>
          <a:endParaRPr lang="de-DE" sz="1100" smtClean="0">
            <a:solidFill>
              <a:schemeClr val="dk1"/>
            </a:solidFill>
            <a:latin typeface="+mn-lt"/>
            <a:ea typeface="+mn-ea"/>
            <a:cs typeface="+mn-cs"/>
          </a:endParaRPr>
        </a:p>
        <a:p>
          <a:r>
            <a:rPr lang="de-DE" sz="1100" smtClean="0">
              <a:solidFill>
                <a:schemeClr val="dk1"/>
              </a:solidFill>
              <a:latin typeface="+mn-lt"/>
              <a:ea typeface="+mn-ea"/>
              <a:cs typeface="+mn-cs"/>
            </a:rPr>
            <a:t>Ergebnis: Wenn der Projektionsabstand größer wird, hier Faktor 2, muss die Blendenzahl entsprechend kleiner werden (umgekehrte Proportionalität). Der Abstandsänderungfaktor 2 führt zum Blendenzahl-Änderungsfaktor ½.</a:t>
          </a:r>
        </a:p>
        <a:p>
          <a:endParaRPr lang="de-DE" sz="1100" smtClean="0">
            <a:solidFill>
              <a:schemeClr val="dk1"/>
            </a:solidFill>
            <a:latin typeface="+mn-lt"/>
            <a:ea typeface="+mn-ea"/>
            <a:cs typeface="+mn-cs"/>
          </a:endParaRPr>
        </a:p>
        <a:p>
          <a:r>
            <a:rPr lang="de-DE" sz="1100" smtClean="0">
              <a:solidFill>
                <a:schemeClr val="dk1"/>
              </a:solidFill>
              <a:latin typeface="+mn-lt"/>
              <a:ea typeface="+mn-ea"/>
              <a:cs typeface="+mn-cs"/>
            </a:rPr>
            <a:t>Das könnte man mit Aäf = 1,414 (Wurzel(2) ebenso zeigen: Helligkeit = 1/Wurzel(2)² = ½. Die Blendenzahl muss entsprechend kleiner werden, also Blende 16*1/1,414 = 11.</a:t>
          </a:r>
        </a:p>
        <a:p>
          <a:endParaRPr lang="de-DE" sz="1100" smtClean="0">
            <a:solidFill>
              <a:schemeClr val="dk1"/>
            </a:solidFill>
            <a:latin typeface="+mn-lt"/>
            <a:ea typeface="+mn-ea"/>
            <a:cs typeface="+mn-cs"/>
          </a:endParaRPr>
        </a:p>
        <a:p>
          <a:r>
            <a:rPr lang="de-DE" sz="1100" smtClean="0">
              <a:solidFill>
                <a:schemeClr val="dk1"/>
              </a:solidFill>
              <a:latin typeface="+mn-lt"/>
              <a:ea typeface="+mn-ea"/>
              <a:cs typeface="+mn-cs"/>
            </a:rPr>
            <a:t>Man kann auch Zahlenreihen gegenüber stellen: Blendenzahlreihe und Projektionsabstandreihe, die zu immer gleichen Belichtungsintensitäten führen:</a:t>
          </a:r>
        </a:p>
        <a:p>
          <a:endParaRPr lang="de-DE" sz="1100" smtClean="0">
            <a:solidFill>
              <a:schemeClr val="dk1"/>
            </a:solidFill>
            <a:latin typeface="+mn-lt"/>
            <a:ea typeface="+mn-ea"/>
            <a:cs typeface="+mn-cs"/>
          </a:endParaRPr>
        </a:p>
        <a:p>
          <a:r>
            <a:rPr lang="de-DE" sz="1100" smtClean="0">
              <a:solidFill>
                <a:schemeClr val="dk1"/>
              </a:solidFill>
              <a:latin typeface="+mn-lt"/>
              <a:ea typeface="+mn-ea"/>
              <a:cs typeface="+mn-cs"/>
            </a:rPr>
            <a:t>Blendenreihe: 1 | 1,4 | 2 | 2,8 | 4 | 5,6 | 8 etc. Von links nach rechts nimmt die Helligkeit jeweils auf die Hälfte (Faktor ½) der vorherigen Helligkeit ab. Die Blendenzahlen ändern sich aber mit Faktor Wurzel(2) = 1,414.</a:t>
          </a:r>
        </a:p>
        <a:p>
          <a:endParaRPr lang="de-DE" sz="1100" smtClean="0">
            <a:solidFill>
              <a:schemeClr val="dk1"/>
            </a:solidFill>
            <a:latin typeface="+mn-lt"/>
            <a:ea typeface="+mn-ea"/>
            <a:cs typeface="+mn-cs"/>
          </a:endParaRPr>
        </a:p>
        <a:p>
          <a:r>
            <a:rPr lang="de-DE" sz="1100" smtClean="0">
              <a:solidFill>
                <a:schemeClr val="dk1"/>
              </a:solidFill>
              <a:latin typeface="+mn-lt"/>
              <a:ea typeface="+mn-ea"/>
              <a:cs typeface="+mn-cs"/>
            </a:rPr>
            <a:t>Abstandsänderung in Metern:  1 m | 1,414 m | 2 m | 2,8 m | 4 m | 5,6 m | 8 m etc. Von links nach rechts nimmt die Helligkeit jeweils auf die Hälfte (Faktor ½) der vorherigen Helligkeit ab. Die Abstandswerte ändern sich aber mit Faktor Wurzel(2) = 1,414.</a:t>
          </a:r>
        </a:p>
        <a:p>
          <a:endParaRPr lang="de-DE" sz="1100" smtClean="0">
            <a:solidFill>
              <a:schemeClr val="dk1"/>
            </a:solidFill>
            <a:latin typeface="+mn-lt"/>
            <a:ea typeface="+mn-ea"/>
            <a:cs typeface="+mn-cs"/>
          </a:endParaRPr>
        </a:p>
        <a:p>
          <a:r>
            <a:rPr lang="de-DE" sz="1100" smtClean="0">
              <a:solidFill>
                <a:schemeClr val="dk1"/>
              </a:solidFill>
              <a:latin typeface="+mn-lt"/>
              <a:ea typeface="+mn-ea"/>
              <a:cs typeface="+mn-cs"/>
            </a:rPr>
            <a:t>Wenn man beides kompensatorisch nutzen will, muss man den zweiten Wert bezogen auf den ersten Wert immer entgegengesetzt verändern (umgekehrt proportional). Das heißt, die neue Blendenzahl ergibt sich dadurch, dass man die ursprünglich Blendenzahl mit dem Kehrwert des Abstandsänderungsfaktors multipliziert.</a:t>
          </a:r>
        </a:p>
        <a:p>
          <a:endParaRPr lang="de-DE" sz="1100"/>
        </a:p>
      </xdr:txBody>
    </xdr:sp>
    <xdr:clientData/>
  </xdr:twoCellAnchor>
  <xdr:twoCellAnchor>
    <xdr:from>
      <xdr:col>1</xdr:col>
      <xdr:colOff>1291167</xdr:colOff>
      <xdr:row>20</xdr:row>
      <xdr:rowOff>152400</xdr:rowOff>
    </xdr:from>
    <xdr:to>
      <xdr:col>3</xdr:col>
      <xdr:colOff>0</xdr:colOff>
      <xdr:row>30</xdr:row>
      <xdr:rowOff>10583</xdr:rowOff>
    </xdr:to>
    <xdr:grpSp>
      <xdr:nvGrpSpPr>
        <xdr:cNvPr id="30" name="Group 56"/>
        <xdr:cNvGrpSpPr>
          <a:grpSpLocks/>
        </xdr:cNvGrpSpPr>
      </xdr:nvGrpSpPr>
      <xdr:grpSpPr bwMode="auto">
        <a:xfrm>
          <a:off x="2084917" y="3401483"/>
          <a:ext cx="3630083" cy="1445683"/>
          <a:chOff x="70" y="1802"/>
          <a:chExt cx="250" cy="122"/>
        </a:xfrm>
      </xdr:grpSpPr>
      <xdr:grpSp>
        <xdr:nvGrpSpPr>
          <xdr:cNvPr id="31" name="Group 27"/>
          <xdr:cNvGrpSpPr>
            <a:grpSpLocks/>
          </xdr:cNvGrpSpPr>
        </xdr:nvGrpSpPr>
        <xdr:grpSpPr bwMode="auto">
          <a:xfrm>
            <a:off x="70" y="1802"/>
            <a:ext cx="250" cy="117"/>
            <a:chOff x="449" y="1759"/>
            <a:chExt cx="397" cy="258"/>
          </a:xfrm>
        </xdr:grpSpPr>
        <xdr:sp macro="" textlink="">
          <xdr:nvSpPr>
            <xdr:cNvPr id="33" name="Line 22"/>
            <xdr:cNvSpPr>
              <a:spLocks noChangeShapeType="1"/>
            </xdr:cNvSpPr>
          </xdr:nvSpPr>
          <xdr:spPr bwMode="auto">
            <a:xfrm>
              <a:off x="449" y="1870"/>
              <a:ext cx="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24"/>
            <xdr:cNvSpPr>
              <a:spLocks noChangeShapeType="1"/>
            </xdr:cNvSpPr>
          </xdr:nvSpPr>
          <xdr:spPr bwMode="auto">
            <a:xfrm>
              <a:off x="520" y="1871"/>
              <a:ext cx="43" cy="14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25"/>
            <xdr:cNvSpPr>
              <a:spLocks noChangeShapeType="1"/>
            </xdr:cNvSpPr>
          </xdr:nvSpPr>
          <xdr:spPr bwMode="auto">
            <a:xfrm flipV="1">
              <a:off x="562" y="1760"/>
              <a:ext cx="9" cy="2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26"/>
            <xdr:cNvSpPr>
              <a:spLocks noChangeShapeType="1"/>
            </xdr:cNvSpPr>
          </xdr:nvSpPr>
          <xdr:spPr bwMode="auto">
            <a:xfrm>
              <a:off x="572" y="1759"/>
              <a:ext cx="27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32" name="Text Box 28"/>
          <xdr:cNvSpPr txBox="1">
            <a:spLocks noChangeArrowheads="1"/>
          </xdr:cNvSpPr>
        </xdr:nvSpPr>
        <xdr:spPr bwMode="auto">
          <a:xfrm>
            <a:off x="200" y="1813"/>
            <a:ext cx="101" cy="111"/>
          </a:xfrm>
          <a:prstGeom prst="rect">
            <a:avLst/>
          </a:prstGeom>
          <a:noFill/>
          <a:ln w="9525">
            <a:noFill/>
            <a:miter lim="800000"/>
            <a:headEnd/>
            <a:tailEnd/>
          </a:ln>
        </xdr:spPr>
        <xdr:txBody>
          <a:bodyPr vertOverflow="clip" wrap="square" lIns="137160" tIns="109728" rIns="0" bIns="0" anchor="t" upright="1"/>
          <a:lstStyle/>
          <a:p>
            <a:pPr algn="l" rtl="0">
              <a:defRPr sz="1000"/>
            </a:pPr>
            <a:r>
              <a:rPr lang="de-DE" sz="7200" b="0" i="0" strike="noStrike">
                <a:solidFill>
                  <a:srgbClr val="000000"/>
                </a:solidFill>
                <a:latin typeface="Arial"/>
                <a:cs typeface="Arial"/>
              </a:rPr>
              <a:t>4</a:t>
            </a:r>
          </a:p>
        </xdr:txBody>
      </xdr:sp>
    </xdr:grpSp>
    <xdr:clientData/>
  </xdr:twoCellAnchor>
  <xdr:twoCellAnchor>
    <xdr:from>
      <xdr:col>4</xdr:col>
      <xdr:colOff>0</xdr:colOff>
      <xdr:row>20</xdr:row>
      <xdr:rowOff>95250</xdr:rowOff>
    </xdr:from>
    <xdr:to>
      <xdr:col>6</xdr:col>
      <xdr:colOff>419100</xdr:colOff>
      <xdr:row>29</xdr:row>
      <xdr:rowOff>0</xdr:rowOff>
    </xdr:to>
    <xdr:grpSp>
      <xdr:nvGrpSpPr>
        <xdr:cNvPr id="37" name="Group 55"/>
        <xdr:cNvGrpSpPr>
          <a:grpSpLocks/>
        </xdr:cNvGrpSpPr>
      </xdr:nvGrpSpPr>
      <xdr:grpSpPr bwMode="auto">
        <a:xfrm>
          <a:off x="6783917" y="3344333"/>
          <a:ext cx="2874433" cy="1333500"/>
          <a:chOff x="438" y="1796"/>
          <a:chExt cx="264" cy="143"/>
        </a:xfrm>
      </xdr:grpSpPr>
      <xdr:grpSp>
        <xdr:nvGrpSpPr>
          <xdr:cNvPr id="38" name="Group 29"/>
          <xdr:cNvGrpSpPr>
            <a:grpSpLocks/>
          </xdr:cNvGrpSpPr>
        </xdr:nvGrpSpPr>
        <xdr:grpSpPr bwMode="auto">
          <a:xfrm>
            <a:off x="438" y="1803"/>
            <a:ext cx="250" cy="117"/>
            <a:chOff x="449" y="1759"/>
            <a:chExt cx="397" cy="258"/>
          </a:xfrm>
        </xdr:grpSpPr>
        <xdr:sp macro="" textlink="">
          <xdr:nvSpPr>
            <xdr:cNvPr id="42" name="Line 30"/>
            <xdr:cNvSpPr>
              <a:spLocks noChangeShapeType="1"/>
            </xdr:cNvSpPr>
          </xdr:nvSpPr>
          <xdr:spPr bwMode="auto">
            <a:xfrm>
              <a:off x="449" y="1870"/>
              <a:ext cx="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31"/>
            <xdr:cNvSpPr>
              <a:spLocks noChangeShapeType="1"/>
            </xdr:cNvSpPr>
          </xdr:nvSpPr>
          <xdr:spPr bwMode="auto">
            <a:xfrm>
              <a:off x="520" y="1871"/>
              <a:ext cx="43" cy="14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2"/>
            <xdr:cNvSpPr>
              <a:spLocks noChangeShapeType="1"/>
            </xdr:cNvSpPr>
          </xdr:nvSpPr>
          <xdr:spPr bwMode="auto">
            <a:xfrm flipV="1">
              <a:off x="562" y="1760"/>
              <a:ext cx="9" cy="2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Line 33"/>
            <xdr:cNvSpPr>
              <a:spLocks noChangeShapeType="1"/>
            </xdr:cNvSpPr>
          </xdr:nvSpPr>
          <xdr:spPr bwMode="auto">
            <a:xfrm>
              <a:off x="572" y="1759"/>
              <a:ext cx="27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39" name="Text Box 34"/>
          <xdr:cNvSpPr txBox="1">
            <a:spLocks noChangeArrowheads="1"/>
          </xdr:cNvSpPr>
        </xdr:nvSpPr>
        <xdr:spPr bwMode="auto">
          <a:xfrm>
            <a:off x="568" y="1828"/>
            <a:ext cx="102" cy="111"/>
          </a:xfrm>
          <a:prstGeom prst="rect">
            <a:avLst/>
          </a:prstGeom>
          <a:noFill/>
          <a:ln w="9525">
            <a:noFill/>
            <a:miter lim="800000"/>
            <a:headEnd/>
            <a:tailEnd/>
          </a:ln>
        </xdr:spPr>
        <xdr:txBody>
          <a:bodyPr vertOverflow="clip" wrap="square" lIns="137160" tIns="109728" rIns="0" bIns="0" anchor="t" upright="1"/>
          <a:lstStyle/>
          <a:p>
            <a:pPr algn="l" rtl="0">
              <a:defRPr sz="1000"/>
            </a:pPr>
            <a:r>
              <a:rPr lang="de-DE" sz="7200" b="0" i="0" strike="noStrike">
                <a:solidFill>
                  <a:srgbClr val="000000"/>
                </a:solidFill>
                <a:latin typeface="Arial"/>
                <a:cs typeface="Arial"/>
              </a:rPr>
              <a:t>4</a:t>
            </a:r>
          </a:p>
        </xdr:txBody>
      </xdr:sp>
      <xdr:sp macro="" textlink="">
        <xdr:nvSpPr>
          <xdr:cNvPr id="40" name="Text Box 35"/>
          <xdr:cNvSpPr txBox="1">
            <a:spLocks noChangeArrowheads="1"/>
          </xdr:cNvSpPr>
        </xdr:nvSpPr>
        <xdr:spPr bwMode="auto">
          <a:xfrm>
            <a:off x="444" y="1796"/>
            <a:ext cx="53" cy="61"/>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strike="noStrike">
                <a:solidFill>
                  <a:srgbClr val="000000"/>
                </a:solidFill>
                <a:latin typeface="Arial"/>
                <a:cs typeface="Arial"/>
              </a:rPr>
              <a:t>2</a:t>
            </a:r>
          </a:p>
        </xdr:txBody>
      </xdr:sp>
      <xdr:sp macro="" textlink="">
        <xdr:nvSpPr>
          <xdr:cNvPr id="41" name="Text Box 36"/>
          <xdr:cNvSpPr txBox="1">
            <a:spLocks noChangeArrowheads="1"/>
          </xdr:cNvSpPr>
        </xdr:nvSpPr>
        <xdr:spPr bwMode="auto">
          <a:xfrm>
            <a:off x="633" y="1816"/>
            <a:ext cx="69" cy="65"/>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strike="noStrike">
                <a:solidFill>
                  <a:srgbClr val="000000"/>
                </a:solidFill>
                <a:latin typeface="Arial"/>
                <a:cs typeface="Arial"/>
              </a:rPr>
              <a:t>1</a:t>
            </a:r>
          </a:p>
        </xdr:txBody>
      </xdr:sp>
    </xdr:grpSp>
    <xdr:clientData/>
  </xdr:twoCellAnchor>
  <xdr:twoCellAnchor>
    <xdr:from>
      <xdr:col>7</xdr:col>
      <xdr:colOff>685800</xdr:colOff>
      <xdr:row>19</xdr:row>
      <xdr:rowOff>28575</xdr:rowOff>
    </xdr:from>
    <xdr:to>
      <xdr:col>9</xdr:col>
      <xdr:colOff>409575</xdr:colOff>
      <xdr:row>29</xdr:row>
      <xdr:rowOff>9525</xdr:rowOff>
    </xdr:to>
    <xdr:grpSp>
      <xdr:nvGrpSpPr>
        <xdr:cNvPr id="46" name="Group 54"/>
        <xdr:cNvGrpSpPr>
          <a:grpSpLocks/>
        </xdr:cNvGrpSpPr>
      </xdr:nvGrpSpPr>
      <xdr:grpSpPr bwMode="auto">
        <a:xfrm>
          <a:off x="11554883" y="3118908"/>
          <a:ext cx="2126192" cy="1568450"/>
          <a:chOff x="818" y="1772"/>
          <a:chExt cx="147" cy="168"/>
        </a:xfrm>
      </xdr:grpSpPr>
      <xdr:sp macro="" textlink="">
        <xdr:nvSpPr>
          <xdr:cNvPr id="47" name="Text Box 37"/>
          <xdr:cNvSpPr txBox="1">
            <a:spLocks noChangeArrowheads="1"/>
          </xdr:cNvSpPr>
        </xdr:nvSpPr>
        <xdr:spPr bwMode="auto">
          <a:xfrm>
            <a:off x="818" y="1829"/>
            <a:ext cx="101" cy="111"/>
          </a:xfrm>
          <a:prstGeom prst="rect">
            <a:avLst/>
          </a:prstGeom>
          <a:noFill/>
          <a:ln w="9525">
            <a:noFill/>
            <a:miter lim="800000"/>
            <a:headEnd/>
            <a:tailEnd/>
          </a:ln>
        </xdr:spPr>
        <xdr:txBody>
          <a:bodyPr vertOverflow="clip" wrap="square" lIns="137160" tIns="109728" rIns="0" bIns="0" anchor="t" upright="1"/>
          <a:lstStyle/>
          <a:p>
            <a:pPr algn="l" rtl="0">
              <a:defRPr sz="1000"/>
            </a:pPr>
            <a:r>
              <a:rPr lang="de-DE" sz="7200" b="0" i="0" strike="noStrike">
                <a:solidFill>
                  <a:srgbClr val="000000"/>
                </a:solidFill>
                <a:latin typeface="Arial"/>
                <a:cs typeface="Arial"/>
              </a:rPr>
              <a:t>4</a:t>
            </a:r>
          </a:p>
        </xdr:txBody>
      </xdr:sp>
      <xdr:sp macro="" textlink="">
        <xdr:nvSpPr>
          <xdr:cNvPr id="48" name="Text Box 38"/>
          <xdr:cNvSpPr txBox="1">
            <a:spLocks noChangeArrowheads="1"/>
          </xdr:cNvSpPr>
        </xdr:nvSpPr>
        <xdr:spPr bwMode="auto">
          <a:xfrm>
            <a:off x="896" y="1772"/>
            <a:ext cx="69" cy="65"/>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u="sng" strike="noStrike">
                <a:solidFill>
                  <a:srgbClr val="000000"/>
                </a:solidFill>
                <a:latin typeface="Arial"/>
                <a:cs typeface="Arial"/>
              </a:rPr>
              <a:t>1</a:t>
            </a:r>
          </a:p>
        </xdr:txBody>
      </xdr:sp>
      <xdr:sp macro="" textlink="">
        <xdr:nvSpPr>
          <xdr:cNvPr id="49" name="Text Box 40"/>
          <xdr:cNvSpPr txBox="1">
            <a:spLocks noChangeArrowheads="1"/>
          </xdr:cNvSpPr>
        </xdr:nvSpPr>
        <xdr:spPr bwMode="auto">
          <a:xfrm>
            <a:off x="895" y="1824"/>
            <a:ext cx="57" cy="61"/>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strike="noStrike">
                <a:solidFill>
                  <a:srgbClr val="000000"/>
                </a:solidFill>
                <a:latin typeface="Arial"/>
                <a:cs typeface="Arial"/>
              </a:rPr>
              <a:t>2</a:t>
            </a:r>
          </a:p>
        </xdr:txBody>
      </xdr:sp>
    </xdr:grpSp>
    <xdr:clientData/>
  </xdr:twoCellAnchor>
  <xdr:twoCellAnchor>
    <xdr:from>
      <xdr:col>4</xdr:col>
      <xdr:colOff>0</xdr:colOff>
      <xdr:row>32</xdr:row>
      <xdr:rowOff>95250</xdr:rowOff>
    </xdr:from>
    <xdr:to>
      <xdr:col>6</xdr:col>
      <xdr:colOff>447675</xdr:colOff>
      <xdr:row>41</xdr:row>
      <xdr:rowOff>0</xdr:rowOff>
    </xdr:to>
    <xdr:grpSp>
      <xdr:nvGrpSpPr>
        <xdr:cNvPr id="50" name="Group 52"/>
        <xdr:cNvGrpSpPr>
          <a:grpSpLocks/>
        </xdr:cNvGrpSpPr>
      </xdr:nvGrpSpPr>
      <xdr:grpSpPr bwMode="auto">
        <a:xfrm>
          <a:off x="6783917" y="5249333"/>
          <a:ext cx="2903008" cy="1333500"/>
          <a:chOff x="441" y="2000"/>
          <a:chExt cx="264" cy="143"/>
        </a:xfrm>
      </xdr:grpSpPr>
      <xdr:grpSp>
        <xdr:nvGrpSpPr>
          <xdr:cNvPr id="51" name="Group 41"/>
          <xdr:cNvGrpSpPr>
            <a:grpSpLocks/>
          </xdr:cNvGrpSpPr>
        </xdr:nvGrpSpPr>
        <xdr:grpSpPr bwMode="auto">
          <a:xfrm>
            <a:off x="441" y="2007"/>
            <a:ext cx="250" cy="117"/>
            <a:chOff x="449" y="1759"/>
            <a:chExt cx="397" cy="258"/>
          </a:xfrm>
        </xdr:grpSpPr>
        <xdr:sp macro="" textlink="">
          <xdr:nvSpPr>
            <xdr:cNvPr id="55" name="Line 42"/>
            <xdr:cNvSpPr>
              <a:spLocks noChangeShapeType="1"/>
            </xdr:cNvSpPr>
          </xdr:nvSpPr>
          <xdr:spPr bwMode="auto">
            <a:xfrm>
              <a:off x="449" y="1870"/>
              <a:ext cx="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43"/>
            <xdr:cNvSpPr>
              <a:spLocks noChangeShapeType="1"/>
            </xdr:cNvSpPr>
          </xdr:nvSpPr>
          <xdr:spPr bwMode="auto">
            <a:xfrm>
              <a:off x="520" y="1871"/>
              <a:ext cx="43" cy="14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44"/>
            <xdr:cNvSpPr>
              <a:spLocks noChangeShapeType="1"/>
            </xdr:cNvSpPr>
          </xdr:nvSpPr>
          <xdr:spPr bwMode="auto">
            <a:xfrm flipV="1">
              <a:off x="562" y="1760"/>
              <a:ext cx="9" cy="2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45"/>
            <xdr:cNvSpPr>
              <a:spLocks noChangeShapeType="1"/>
            </xdr:cNvSpPr>
          </xdr:nvSpPr>
          <xdr:spPr bwMode="auto">
            <a:xfrm>
              <a:off x="572" y="1759"/>
              <a:ext cx="27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2" name="Text Box 46"/>
          <xdr:cNvSpPr txBox="1">
            <a:spLocks noChangeArrowheads="1"/>
          </xdr:cNvSpPr>
        </xdr:nvSpPr>
        <xdr:spPr bwMode="auto">
          <a:xfrm>
            <a:off x="571" y="2032"/>
            <a:ext cx="102" cy="111"/>
          </a:xfrm>
          <a:prstGeom prst="rect">
            <a:avLst/>
          </a:prstGeom>
          <a:noFill/>
          <a:ln w="9525">
            <a:noFill/>
            <a:miter lim="800000"/>
            <a:headEnd/>
            <a:tailEnd/>
          </a:ln>
        </xdr:spPr>
        <xdr:txBody>
          <a:bodyPr vertOverflow="clip" wrap="square" lIns="137160" tIns="109728" rIns="0" bIns="0" anchor="t" upright="1"/>
          <a:lstStyle/>
          <a:p>
            <a:pPr algn="l" rtl="0">
              <a:defRPr sz="1000"/>
            </a:pPr>
            <a:r>
              <a:rPr lang="de-DE" sz="7200" b="0" i="0" strike="noStrike">
                <a:solidFill>
                  <a:srgbClr val="000000"/>
                </a:solidFill>
                <a:latin typeface="Arial"/>
                <a:cs typeface="Arial"/>
              </a:rPr>
              <a:t>4</a:t>
            </a:r>
          </a:p>
        </xdr:txBody>
      </xdr:sp>
      <xdr:sp macro="" textlink="">
        <xdr:nvSpPr>
          <xdr:cNvPr id="53" name="Text Box 47"/>
          <xdr:cNvSpPr txBox="1">
            <a:spLocks noChangeArrowheads="1"/>
          </xdr:cNvSpPr>
        </xdr:nvSpPr>
        <xdr:spPr bwMode="auto">
          <a:xfrm>
            <a:off x="447" y="2000"/>
            <a:ext cx="53" cy="61"/>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strike="noStrike">
                <a:solidFill>
                  <a:srgbClr val="000000"/>
                </a:solidFill>
                <a:latin typeface="Arial"/>
                <a:cs typeface="Arial"/>
              </a:rPr>
              <a:t>3</a:t>
            </a:r>
          </a:p>
        </xdr:txBody>
      </xdr:sp>
      <xdr:sp macro="" textlink="">
        <xdr:nvSpPr>
          <xdr:cNvPr id="54" name="Text Box 48"/>
          <xdr:cNvSpPr txBox="1">
            <a:spLocks noChangeArrowheads="1"/>
          </xdr:cNvSpPr>
        </xdr:nvSpPr>
        <xdr:spPr bwMode="auto">
          <a:xfrm>
            <a:off x="636" y="2020"/>
            <a:ext cx="69" cy="65"/>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strike="noStrike">
                <a:solidFill>
                  <a:srgbClr val="000000"/>
                </a:solidFill>
                <a:latin typeface="Arial"/>
                <a:cs typeface="Arial"/>
              </a:rPr>
              <a:t>1</a:t>
            </a:r>
          </a:p>
        </xdr:txBody>
      </xdr:sp>
    </xdr:grpSp>
    <xdr:clientData/>
  </xdr:twoCellAnchor>
  <xdr:twoCellAnchor>
    <xdr:from>
      <xdr:col>7</xdr:col>
      <xdr:colOff>714375</xdr:colOff>
      <xdr:row>31</xdr:row>
      <xdr:rowOff>28575</xdr:rowOff>
    </xdr:from>
    <xdr:to>
      <xdr:col>9</xdr:col>
      <xdr:colOff>438150</xdr:colOff>
      <xdr:row>41</xdr:row>
      <xdr:rowOff>9525</xdr:rowOff>
    </xdr:to>
    <xdr:grpSp>
      <xdr:nvGrpSpPr>
        <xdr:cNvPr id="59" name="Group 53"/>
        <xdr:cNvGrpSpPr>
          <a:grpSpLocks/>
        </xdr:cNvGrpSpPr>
      </xdr:nvGrpSpPr>
      <xdr:grpSpPr bwMode="auto">
        <a:xfrm>
          <a:off x="11583458" y="5023908"/>
          <a:ext cx="2126192" cy="1568450"/>
          <a:chOff x="821" y="1976"/>
          <a:chExt cx="147" cy="168"/>
        </a:xfrm>
      </xdr:grpSpPr>
      <xdr:sp macro="" textlink="">
        <xdr:nvSpPr>
          <xdr:cNvPr id="60" name="Text Box 49"/>
          <xdr:cNvSpPr txBox="1">
            <a:spLocks noChangeArrowheads="1"/>
          </xdr:cNvSpPr>
        </xdr:nvSpPr>
        <xdr:spPr bwMode="auto">
          <a:xfrm>
            <a:off x="821" y="2033"/>
            <a:ext cx="101" cy="111"/>
          </a:xfrm>
          <a:prstGeom prst="rect">
            <a:avLst/>
          </a:prstGeom>
          <a:noFill/>
          <a:ln w="9525">
            <a:noFill/>
            <a:miter lim="800000"/>
            <a:headEnd/>
            <a:tailEnd/>
          </a:ln>
        </xdr:spPr>
        <xdr:txBody>
          <a:bodyPr vertOverflow="clip" wrap="square" lIns="137160" tIns="109728" rIns="0" bIns="0" anchor="t" upright="1"/>
          <a:lstStyle/>
          <a:p>
            <a:pPr algn="l" rtl="0">
              <a:defRPr sz="1000"/>
            </a:pPr>
            <a:r>
              <a:rPr lang="de-DE" sz="7200" b="0" i="0" strike="noStrike">
                <a:solidFill>
                  <a:srgbClr val="000000"/>
                </a:solidFill>
                <a:latin typeface="Arial"/>
                <a:cs typeface="Arial"/>
              </a:rPr>
              <a:t>4</a:t>
            </a:r>
          </a:p>
        </xdr:txBody>
      </xdr:sp>
      <xdr:sp macro="" textlink="">
        <xdr:nvSpPr>
          <xdr:cNvPr id="61" name="Text Box 50"/>
          <xdr:cNvSpPr txBox="1">
            <a:spLocks noChangeArrowheads="1"/>
          </xdr:cNvSpPr>
        </xdr:nvSpPr>
        <xdr:spPr bwMode="auto">
          <a:xfrm>
            <a:off x="899" y="1976"/>
            <a:ext cx="69" cy="65"/>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u="sng" strike="noStrike">
                <a:solidFill>
                  <a:srgbClr val="000000"/>
                </a:solidFill>
                <a:latin typeface="Arial"/>
                <a:cs typeface="Arial"/>
              </a:rPr>
              <a:t>1</a:t>
            </a:r>
          </a:p>
        </xdr:txBody>
      </xdr:sp>
      <xdr:sp macro="" textlink="">
        <xdr:nvSpPr>
          <xdr:cNvPr id="62" name="Text Box 51"/>
          <xdr:cNvSpPr txBox="1">
            <a:spLocks noChangeArrowheads="1"/>
          </xdr:cNvSpPr>
        </xdr:nvSpPr>
        <xdr:spPr bwMode="auto">
          <a:xfrm>
            <a:off x="898" y="2028"/>
            <a:ext cx="57" cy="61"/>
          </a:xfrm>
          <a:prstGeom prst="rect">
            <a:avLst/>
          </a:prstGeom>
          <a:noFill/>
          <a:ln w="9525">
            <a:noFill/>
            <a:miter lim="800000"/>
            <a:headEnd/>
            <a:tailEnd/>
          </a:ln>
        </xdr:spPr>
        <xdr:txBody>
          <a:bodyPr vertOverflow="clip" wrap="square" lIns="73152" tIns="54864" rIns="0" bIns="0" anchor="t" upright="1"/>
          <a:lstStyle/>
          <a:p>
            <a:pPr algn="l" rtl="0">
              <a:defRPr sz="1000"/>
            </a:pPr>
            <a:r>
              <a:rPr lang="de-DE" sz="3600" b="0" i="0" strike="noStrike">
                <a:solidFill>
                  <a:srgbClr val="000000"/>
                </a:solidFill>
                <a:latin typeface="Arial"/>
                <a:cs typeface="Arial"/>
              </a:rPr>
              <a:t>3</a:t>
            </a:r>
          </a:p>
        </xdr:txBody>
      </xdr:sp>
    </xdr:grpSp>
    <xdr:clientData/>
  </xdr:twoCellAnchor>
  <xdr:twoCellAnchor>
    <xdr:from>
      <xdr:col>4</xdr:col>
      <xdr:colOff>1114425</xdr:colOff>
      <xdr:row>295</xdr:row>
      <xdr:rowOff>76200</xdr:rowOff>
    </xdr:from>
    <xdr:to>
      <xdr:col>5</xdr:col>
      <xdr:colOff>1181100</xdr:colOff>
      <xdr:row>295</xdr:row>
      <xdr:rowOff>76200</xdr:rowOff>
    </xdr:to>
    <xdr:sp macro="" textlink="">
      <xdr:nvSpPr>
        <xdr:cNvPr id="63" name="Line 1"/>
        <xdr:cNvSpPr>
          <a:spLocks noChangeShapeType="1"/>
        </xdr:cNvSpPr>
      </xdr:nvSpPr>
      <xdr:spPr bwMode="auto">
        <a:xfrm flipH="1">
          <a:off x="4914900" y="2181225"/>
          <a:ext cx="1257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1133475</xdr:colOff>
      <xdr:row>297</xdr:row>
      <xdr:rowOff>66675</xdr:rowOff>
    </xdr:from>
    <xdr:to>
      <xdr:col>6</xdr:col>
      <xdr:colOff>19050</xdr:colOff>
      <xdr:row>297</xdr:row>
      <xdr:rowOff>66675</xdr:rowOff>
    </xdr:to>
    <xdr:sp macro="" textlink="">
      <xdr:nvSpPr>
        <xdr:cNvPr id="64" name="Line 2"/>
        <xdr:cNvSpPr>
          <a:spLocks noChangeShapeType="1"/>
        </xdr:cNvSpPr>
      </xdr:nvSpPr>
      <xdr:spPr bwMode="auto">
        <a:xfrm flipH="1">
          <a:off x="4933950" y="2495550"/>
          <a:ext cx="1266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409575</xdr:colOff>
          <xdr:row>341</xdr:row>
          <xdr:rowOff>142875</xdr:rowOff>
        </xdr:from>
        <xdr:to>
          <xdr:col>4</xdr:col>
          <xdr:colOff>1038225</xdr:colOff>
          <xdr:row>343</xdr:row>
          <xdr:rowOff>66675</xdr:rowOff>
        </xdr:to>
        <xdr:sp macro="" textlink="">
          <xdr:nvSpPr>
            <xdr:cNvPr id="14361" name="Drop Down 25" hidden="1">
              <a:extLst>
                <a:ext uri="{63B3BB69-23CF-44E3-9099-C40C66FF867C}">
                  <a14:compatExt spid="_x0000_s143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341</xdr:row>
          <xdr:rowOff>133350</xdr:rowOff>
        </xdr:from>
        <xdr:to>
          <xdr:col>5</xdr:col>
          <xdr:colOff>866775</xdr:colOff>
          <xdr:row>343</xdr:row>
          <xdr:rowOff>57150</xdr:rowOff>
        </xdr:to>
        <xdr:sp macro="" textlink="">
          <xdr:nvSpPr>
            <xdr:cNvPr id="14362" name="Drop Down 26" hidden="1">
              <a:extLst>
                <a:ext uri="{63B3BB69-23CF-44E3-9099-C40C66FF867C}">
                  <a14:compatExt spid="_x0000_s143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341</xdr:row>
          <xdr:rowOff>142875</xdr:rowOff>
        </xdr:from>
        <xdr:to>
          <xdr:col>11</xdr:col>
          <xdr:colOff>828675</xdr:colOff>
          <xdr:row>343</xdr:row>
          <xdr:rowOff>66675</xdr:rowOff>
        </xdr:to>
        <xdr:sp macro="" textlink="">
          <xdr:nvSpPr>
            <xdr:cNvPr id="14363" name="Drop Down 27" hidden="1">
              <a:extLst>
                <a:ext uri="{63B3BB69-23CF-44E3-9099-C40C66FF867C}">
                  <a14:compatExt spid="_x0000_s143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341</xdr:row>
          <xdr:rowOff>142875</xdr:rowOff>
        </xdr:from>
        <xdr:to>
          <xdr:col>10</xdr:col>
          <xdr:colOff>828675</xdr:colOff>
          <xdr:row>343</xdr:row>
          <xdr:rowOff>66675</xdr:rowOff>
        </xdr:to>
        <xdr:sp macro="" textlink="">
          <xdr:nvSpPr>
            <xdr:cNvPr id="14364" name="Drop Down 28" hidden="1">
              <a:extLst>
                <a:ext uri="{63B3BB69-23CF-44E3-9099-C40C66FF867C}">
                  <a14:compatExt spid="_x0000_s14364"/>
                </a:ext>
              </a:extLst>
            </xdr:cNvPr>
            <xdr:cNvSpPr/>
          </xdr:nvSpPr>
          <xdr:spPr>
            <a:xfrm>
              <a:off x="0" y="0"/>
              <a:ext cx="0" cy="0"/>
            </a:xfrm>
            <a:prstGeom prst="rect">
              <a:avLst/>
            </a:prstGeom>
          </xdr:spPr>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4</xdr:col>
      <xdr:colOff>123825</xdr:colOff>
      <xdr:row>138</xdr:row>
      <xdr:rowOff>38100</xdr:rowOff>
    </xdr:from>
    <xdr:to>
      <xdr:col>6</xdr:col>
      <xdr:colOff>809625</xdr:colOff>
      <xdr:row>144</xdr:row>
      <xdr:rowOff>85725</xdr:rowOff>
    </xdr:to>
    <xdr:grpSp>
      <xdr:nvGrpSpPr>
        <xdr:cNvPr id="2" name="Group 73"/>
        <xdr:cNvGrpSpPr>
          <a:grpSpLocks/>
        </xdr:cNvGrpSpPr>
      </xdr:nvGrpSpPr>
      <xdr:grpSpPr bwMode="auto">
        <a:xfrm>
          <a:off x="4719638" y="23076694"/>
          <a:ext cx="2614612" cy="1047750"/>
          <a:chOff x="470" y="739"/>
          <a:chExt cx="239" cy="107"/>
        </a:xfrm>
      </xdr:grpSpPr>
      <xdr:sp macro="" textlink="">
        <xdr:nvSpPr>
          <xdr:cNvPr id="3" name="AutoShape 5"/>
          <xdr:cNvSpPr>
            <a:spLocks noChangeArrowheads="1"/>
          </xdr:cNvSpPr>
        </xdr:nvSpPr>
        <xdr:spPr bwMode="auto">
          <a:xfrm flipH="1">
            <a:off x="470" y="739"/>
            <a:ext cx="230" cy="98"/>
          </a:xfrm>
          <a:prstGeom prst="rtTriangle">
            <a:avLst/>
          </a:prstGeom>
          <a:solidFill>
            <a:srgbClr val="FFFFFF"/>
          </a:solidFill>
          <a:ln w="9525">
            <a:solidFill>
              <a:srgbClr val="000000"/>
            </a:solidFill>
            <a:miter lim="800000"/>
            <a:headEnd/>
            <a:tailEnd/>
          </a:ln>
        </xdr:spPr>
      </xdr:sp>
      <xdr:sp macro="" textlink="">
        <xdr:nvSpPr>
          <xdr:cNvPr id="4" name="Line 7"/>
          <xdr:cNvSpPr>
            <a:spLocks noChangeShapeType="1"/>
          </xdr:cNvSpPr>
        </xdr:nvSpPr>
        <xdr:spPr bwMode="auto">
          <a:xfrm>
            <a:off x="709" y="739"/>
            <a:ext cx="0" cy="97"/>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5" name="Line 8"/>
          <xdr:cNvSpPr>
            <a:spLocks noChangeShapeType="1"/>
          </xdr:cNvSpPr>
        </xdr:nvSpPr>
        <xdr:spPr bwMode="auto">
          <a:xfrm>
            <a:off x="471" y="846"/>
            <a:ext cx="228"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 name="Text Box 9"/>
          <xdr:cNvSpPr txBox="1">
            <a:spLocks noChangeArrowheads="1"/>
          </xdr:cNvSpPr>
        </xdr:nvSpPr>
        <xdr:spPr bwMode="auto">
          <a:xfrm>
            <a:off x="682" y="782"/>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a:t>
            </a:r>
          </a:p>
        </xdr:txBody>
      </xdr:sp>
      <xdr:sp macro="" textlink="">
        <xdr:nvSpPr>
          <xdr:cNvPr id="7" name="Text Box 10"/>
          <xdr:cNvSpPr txBox="1">
            <a:spLocks noChangeArrowheads="1"/>
          </xdr:cNvSpPr>
        </xdr:nvSpPr>
        <xdr:spPr bwMode="auto">
          <a:xfrm>
            <a:off x="605" y="817"/>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a</a:t>
            </a:r>
          </a:p>
        </xdr:txBody>
      </xdr:sp>
      <xdr:sp macro="" textlink="">
        <xdr:nvSpPr>
          <xdr:cNvPr id="8" name="Text Box 11"/>
          <xdr:cNvSpPr txBox="1">
            <a:spLocks noChangeArrowheads="1"/>
          </xdr:cNvSpPr>
        </xdr:nvSpPr>
        <xdr:spPr bwMode="auto">
          <a:xfrm>
            <a:off x="616" y="772"/>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c</a:t>
            </a:r>
          </a:p>
        </xdr:txBody>
      </xdr:sp>
      <xdr:sp macro="" textlink="">
        <xdr:nvSpPr>
          <xdr:cNvPr id="9" name="Text Box 12"/>
          <xdr:cNvSpPr txBox="1">
            <a:spLocks noChangeArrowheads="1"/>
          </xdr:cNvSpPr>
        </xdr:nvSpPr>
        <xdr:spPr bwMode="auto">
          <a:xfrm>
            <a:off x="653" y="817"/>
            <a:ext cx="50"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    90°</a:t>
            </a:r>
          </a:p>
        </xdr:txBody>
      </xdr:sp>
      <xdr:sp macro="" textlink="">
        <xdr:nvSpPr>
          <xdr:cNvPr id="10" name="Text Box 13"/>
          <xdr:cNvSpPr txBox="1">
            <a:spLocks noChangeArrowheads="1"/>
          </xdr:cNvSpPr>
        </xdr:nvSpPr>
        <xdr:spPr bwMode="auto">
          <a:xfrm>
            <a:off x="510" y="819"/>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a:t>
            </a:r>
          </a:p>
        </xdr:txBody>
      </xdr:sp>
      <xdr:sp macro="" textlink="">
        <xdr:nvSpPr>
          <xdr:cNvPr id="11" name="Text Box 14"/>
          <xdr:cNvSpPr txBox="1">
            <a:spLocks noChangeArrowheads="1"/>
          </xdr:cNvSpPr>
        </xdr:nvSpPr>
        <xdr:spPr bwMode="auto">
          <a:xfrm>
            <a:off x="686" y="744"/>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a:t>
            </a:r>
          </a:p>
        </xdr:txBody>
      </xdr:sp>
    </xdr:grpSp>
    <xdr:clientData/>
  </xdr:twoCellAnchor>
  <xdr:twoCellAnchor>
    <xdr:from>
      <xdr:col>4</xdr:col>
      <xdr:colOff>104775</xdr:colOff>
      <xdr:row>149</xdr:row>
      <xdr:rowOff>85725</xdr:rowOff>
    </xdr:from>
    <xdr:to>
      <xdr:col>6</xdr:col>
      <xdr:colOff>800100</xdr:colOff>
      <xdr:row>155</xdr:row>
      <xdr:rowOff>123825</xdr:rowOff>
    </xdr:to>
    <xdr:grpSp>
      <xdr:nvGrpSpPr>
        <xdr:cNvPr id="12" name="Group 39"/>
        <xdr:cNvGrpSpPr>
          <a:grpSpLocks/>
        </xdr:cNvGrpSpPr>
      </xdr:nvGrpSpPr>
      <xdr:grpSpPr bwMode="auto">
        <a:xfrm>
          <a:off x="4700588" y="24957881"/>
          <a:ext cx="2624137" cy="1038225"/>
          <a:chOff x="468" y="908"/>
          <a:chExt cx="240" cy="106"/>
        </a:xfrm>
      </xdr:grpSpPr>
      <xdr:sp macro="" textlink="">
        <xdr:nvSpPr>
          <xdr:cNvPr id="13" name="AutoShape 17"/>
          <xdr:cNvSpPr>
            <a:spLocks noChangeArrowheads="1"/>
          </xdr:cNvSpPr>
        </xdr:nvSpPr>
        <xdr:spPr bwMode="auto">
          <a:xfrm flipH="1">
            <a:off x="469" y="916"/>
            <a:ext cx="230" cy="98"/>
          </a:xfrm>
          <a:prstGeom prst="rtTriangle">
            <a:avLst/>
          </a:prstGeom>
          <a:solidFill>
            <a:srgbClr val="FFFFFF"/>
          </a:solidFill>
          <a:ln w="9525">
            <a:solidFill>
              <a:srgbClr val="000000"/>
            </a:solidFill>
            <a:miter lim="800000"/>
            <a:headEnd/>
            <a:tailEnd/>
          </a:ln>
        </xdr:spPr>
      </xdr:sp>
      <xdr:sp macro="" textlink="">
        <xdr:nvSpPr>
          <xdr:cNvPr id="14" name="Line 18"/>
          <xdr:cNvSpPr>
            <a:spLocks noChangeShapeType="1"/>
          </xdr:cNvSpPr>
        </xdr:nvSpPr>
        <xdr:spPr bwMode="auto">
          <a:xfrm>
            <a:off x="708" y="916"/>
            <a:ext cx="0" cy="97"/>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5" name="Line 19"/>
          <xdr:cNvSpPr>
            <a:spLocks noChangeShapeType="1"/>
          </xdr:cNvSpPr>
        </xdr:nvSpPr>
        <xdr:spPr bwMode="auto">
          <a:xfrm flipV="1">
            <a:off x="468" y="908"/>
            <a:ext cx="228" cy="9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6" name="Text Box 20"/>
          <xdr:cNvSpPr txBox="1">
            <a:spLocks noChangeArrowheads="1"/>
          </xdr:cNvSpPr>
        </xdr:nvSpPr>
        <xdr:spPr bwMode="auto">
          <a:xfrm>
            <a:off x="680" y="959"/>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a:t>
            </a:r>
          </a:p>
        </xdr:txBody>
      </xdr:sp>
      <xdr:sp macro="" textlink="">
        <xdr:nvSpPr>
          <xdr:cNvPr id="17" name="Text Box 21"/>
          <xdr:cNvSpPr txBox="1">
            <a:spLocks noChangeArrowheads="1"/>
          </xdr:cNvSpPr>
        </xdr:nvSpPr>
        <xdr:spPr bwMode="auto">
          <a:xfrm>
            <a:off x="605" y="994"/>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a</a:t>
            </a:r>
          </a:p>
        </xdr:txBody>
      </xdr:sp>
      <xdr:sp macro="" textlink="">
        <xdr:nvSpPr>
          <xdr:cNvPr id="18" name="Text Box 22"/>
          <xdr:cNvSpPr txBox="1">
            <a:spLocks noChangeArrowheads="1"/>
          </xdr:cNvSpPr>
        </xdr:nvSpPr>
        <xdr:spPr bwMode="auto">
          <a:xfrm>
            <a:off x="616" y="949"/>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c</a:t>
            </a:r>
          </a:p>
        </xdr:txBody>
      </xdr:sp>
      <xdr:sp macro="" textlink="">
        <xdr:nvSpPr>
          <xdr:cNvPr id="19" name="Text Box 23"/>
          <xdr:cNvSpPr txBox="1">
            <a:spLocks noChangeArrowheads="1"/>
          </xdr:cNvSpPr>
        </xdr:nvSpPr>
        <xdr:spPr bwMode="auto">
          <a:xfrm>
            <a:off x="656" y="994"/>
            <a:ext cx="48" cy="16"/>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    90°</a:t>
            </a:r>
          </a:p>
        </xdr:txBody>
      </xdr:sp>
      <xdr:sp macro="" textlink="">
        <xdr:nvSpPr>
          <xdr:cNvPr id="20" name="Text Box 24"/>
          <xdr:cNvSpPr txBox="1">
            <a:spLocks noChangeArrowheads="1"/>
          </xdr:cNvSpPr>
        </xdr:nvSpPr>
        <xdr:spPr bwMode="auto">
          <a:xfrm>
            <a:off x="508" y="996"/>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a:t>
            </a:r>
          </a:p>
        </xdr:txBody>
      </xdr:sp>
      <xdr:sp macro="" textlink="">
        <xdr:nvSpPr>
          <xdr:cNvPr id="21" name="Text Box 25"/>
          <xdr:cNvSpPr txBox="1">
            <a:spLocks noChangeArrowheads="1"/>
          </xdr:cNvSpPr>
        </xdr:nvSpPr>
        <xdr:spPr bwMode="auto">
          <a:xfrm>
            <a:off x="685" y="921"/>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a:t>
            </a:r>
          </a:p>
        </xdr:txBody>
      </xdr:sp>
    </xdr:grpSp>
    <xdr:clientData/>
  </xdr:twoCellAnchor>
  <xdr:twoCellAnchor>
    <xdr:from>
      <xdr:col>4</xdr:col>
      <xdr:colOff>190500</xdr:colOff>
      <xdr:row>162</xdr:row>
      <xdr:rowOff>85725</xdr:rowOff>
    </xdr:from>
    <xdr:to>
      <xdr:col>6</xdr:col>
      <xdr:colOff>857250</xdr:colOff>
      <xdr:row>169</xdr:row>
      <xdr:rowOff>28575</xdr:rowOff>
    </xdr:to>
    <xdr:grpSp>
      <xdr:nvGrpSpPr>
        <xdr:cNvPr id="22" name="Group 74"/>
        <xdr:cNvGrpSpPr>
          <a:grpSpLocks/>
        </xdr:cNvGrpSpPr>
      </xdr:nvGrpSpPr>
      <xdr:grpSpPr bwMode="auto">
        <a:xfrm>
          <a:off x="4786313" y="27124819"/>
          <a:ext cx="2595562" cy="1109662"/>
          <a:chOff x="478" y="1088"/>
          <a:chExt cx="237" cy="113"/>
        </a:xfrm>
      </xdr:grpSpPr>
      <xdr:sp macro="" textlink="">
        <xdr:nvSpPr>
          <xdr:cNvPr id="23" name="AutoShape 28"/>
          <xdr:cNvSpPr>
            <a:spLocks noChangeArrowheads="1"/>
          </xdr:cNvSpPr>
        </xdr:nvSpPr>
        <xdr:spPr bwMode="auto">
          <a:xfrm flipH="1">
            <a:off x="479" y="1096"/>
            <a:ext cx="230" cy="98"/>
          </a:xfrm>
          <a:prstGeom prst="rtTriangle">
            <a:avLst/>
          </a:prstGeom>
          <a:solidFill>
            <a:srgbClr val="FFFFFF"/>
          </a:solidFill>
          <a:ln w="9525">
            <a:solidFill>
              <a:srgbClr val="000000"/>
            </a:solidFill>
            <a:miter lim="800000"/>
            <a:headEnd/>
            <a:tailEnd/>
          </a:ln>
        </xdr:spPr>
      </xdr:sp>
      <xdr:sp macro="" textlink="">
        <xdr:nvSpPr>
          <xdr:cNvPr id="24" name="Line 29"/>
          <xdr:cNvSpPr>
            <a:spLocks noChangeShapeType="1"/>
          </xdr:cNvSpPr>
        </xdr:nvSpPr>
        <xdr:spPr bwMode="auto">
          <a:xfrm flipH="1">
            <a:off x="480" y="1200"/>
            <a:ext cx="229"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5" name="Line 30"/>
          <xdr:cNvSpPr>
            <a:spLocks noChangeShapeType="1"/>
          </xdr:cNvSpPr>
        </xdr:nvSpPr>
        <xdr:spPr bwMode="auto">
          <a:xfrm flipV="1">
            <a:off x="478" y="1088"/>
            <a:ext cx="228" cy="9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6" name="Text Box 31"/>
          <xdr:cNvSpPr txBox="1">
            <a:spLocks noChangeArrowheads="1"/>
          </xdr:cNvSpPr>
        </xdr:nvSpPr>
        <xdr:spPr bwMode="auto">
          <a:xfrm>
            <a:off x="690" y="1139"/>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a:t>
            </a:r>
          </a:p>
        </xdr:txBody>
      </xdr:sp>
      <xdr:sp macro="" textlink="">
        <xdr:nvSpPr>
          <xdr:cNvPr id="27" name="Text Box 32"/>
          <xdr:cNvSpPr txBox="1">
            <a:spLocks noChangeArrowheads="1"/>
          </xdr:cNvSpPr>
        </xdr:nvSpPr>
        <xdr:spPr bwMode="auto">
          <a:xfrm>
            <a:off x="616" y="1174"/>
            <a:ext cx="19"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a</a:t>
            </a:r>
          </a:p>
        </xdr:txBody>
      </xdr:sp>
      <xdr:sp macro="" textlink="">
        <xdr:nvSpPr>
          <xdr:cNvPr id="28" name="Text Box 33"/>
          <xdr:cNvSpPr txBox="1">
            <a:spLocks noChangeArrowheads="1"/>
          </xdr:cNvSpPr>
        </xdr:nvSpPr>
        <xdr:spPr bwMode="auto">
          <a:xfrm>
            <a:off x="624" y="1129"/>
            <a:ext cx="19"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c</a:t>
            </a:r>
          </a:p>
        </xdr:txBody>
      </xdr:sp>
      <xdr:sp macro="" textlink="">
        <xdr:nvSpPr>
          <xdr:cNvPr id="29" name="Text Box 34"/>
          <xdr:cNvSpPr txBox="1">
            <a:spLocks noChangeArrowheads="1"/>
          </xdr:cNvSpPr>
        </xdr:nvSpPr>
        <xdr:spPr bwMode="auto">
          <a:xfrm>
            <a:off x="662" y="1176"/>
            <a:ext cx="51"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    90°</a:t>
            </a:r>
          </a:p>
        </xdr:txBody>
      </xdr:sp>
      <xdr:sp macro="" textlink="">
        <xdr:nvSpPr>
          <xdr:cNvPr id="30" name="Text Box 35"/>
          <xdr:cNvSpPr txBox="1">
            <a:spLocks noChangeArrowheads="1"/>
          </xdr:cNvSpPr>
        </xdr:nvSpPr>
        <xdr:spPr bwMode="auto">
          <a:xfrm>
            <a:off x="518" y="1176"/>
            <a:ext cx="19"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a:t>
            </a:r>
          </a:p>
        </xdr:txBody>
      </xdr:sp>
      <xdr:sp macro="" textlink="">
        <xdr:nvSpPr>
          <xdr:cNvPr id="31" name="Text Box 36"/>
          <xdr:cNvSpPr txBox="1">
            <a:spLocks noChangeArrowheads="1"/>
          </xdr:cNvSpPr>
        </xdr:nvSpPr>
        <xdr:spPr bwMode="auto">
          <a:xfrm>
            <a:off x="695" y="1101"/>
            <a:ext cx="20"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a:t>
            </a:r>
          </a:p>
        </xdr:txBody>
      </xdr:sp>
    </xdr:grpSp>
    <xdr:clientData/>
  </xdr:twoCellAnchor>
  <xdr:twoCellAnchor>
    <xdr:from>
      <xdr:col>7</xdr:col>
      <xdr:colOff>647700</xdr:colOff>
      <xdr:row>138</xdr:row>
      <xdr:rowOff>38100</xdr:rowOff>
    </xdr:from>
    <xdr:to>
      <xdr:col>11</xdr:col>
      <xdr:colOff>180975</xdr:colOff>
      <xdr:row>144</xdr:row>
      <xdr:rowOff>85725</xdr:rowOff>
    </xdr:to>
    <xdr:grpSp>
      <xdr:nvGrpSpPr>
        <xdr:cNvPr id="32" name="Group 51"/>
        <xdr:cNvGrpSpPr>
          <a:grpSpLocks/>
        </xdr:cNvGrpSpPr>
      </xdr:nvGrpSpPr>
      <xdr:grpSpPr bwMode="auto">
        <a:xfrm>
          <a:off x="8148638" y="23076694"/>
          <a:ext cx="2605087" cy="1047750"/>
          <a:chOff x="794" y="739"/>
          <a:chExt cx="239" cy="107"/>
        </a:xfrm>
      </xdr:grpSpPr>
      <xdr:sp macro="" textlink="">
        <xdr:nvSpPr>
          <xdr:cNvPr id="33" name="AutoShape 42"/>
          <xdr:cNvSpPr>
            <a:spLocks noChangeArrowheads="1"/>
          </xdr:cNvSpPr>
        </xdr:nvSpPr>
        <xdr:spPr bwMode="auto">
          <a:xfrm flipH="1">
            <a:off x="794" y="739"/>
            <a:ext cx="135" cy="98"/>
          </a:xfrm>
          <a:prstGeom prst="rtTriangle">
            <a:avLst/>
          </a:prstGeom>
          <a:solidFill>
            <a:srgbClr val="FFFFFF"/>
          </a:solidFill>
          <a:ln w="9525">
            <a:solidFill>
              <a:srgbClr val="000000"/>
            </a:solidFill>
            <a:miter lim="800000"/>
            <a:headEnd/>
            <a:tailEnd/>
          </a:ln>
        </xdr:spPr>
      </xdr:sp>
      <xdr:sp macro="" textlink="">
        <xdr:nvSpPr>
          <xdr:cNvPr id="34" name="Line 43"/>
          <xdr:cNvSpPr>
            <a:spLocks noChangeShapeType="1"/>
          </xdr:cNvSpPr>
        </xdr:nvSpPr>
        <xdr:spPr bwMode="auto">
          <a:xfrm>
            <a:off x="1033" y="739"/>
            <a:ext cx="0" cy="97"/>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5" name="Line 44"/>
          <xdr:cNvSpPr>
            <a:spLocks noChangeShapeType="1"/>
          </xdr:cNvSpPr>
        </xdr:nvSpPr>
        <xdr:spPr bwMode="auto">
          <a:xfrm>
            <a:off x="795" y="846"/>
            <a:ext cx="228"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609600</xdr:colOff>
      <xdr:row>149</xdr:row>
      <xdr:rowOff>76200</xdr:rowOff>
    </xdr:from>
    <xdr:to>
      <xdr:col>11</xdr:col>
      <xdr:colOff>152400</xdr:colOff>
      <xdr:row>155</xdr:row>
      <xdr:rowOff>114300</xdr:rowOff>
    </xdr:to>
    <xdr:grpSp>
      <xdr:nvGrpSpPr>
        <xdr:cNvPr id="36" name="Group 62"/>
        <xdr:cNvGrpSpPr>
          <a:grpSpLocks/>
        </xdr:cNvGrpSpPr>
      </xdr:nvGrpSpPr>
      <xdr:grpSpPr bwMode="auto">
        <a:xfrm>
          <a:off x="8110538" y="24948356"/>
          <a:ext cx="2614612" cy="1038225"/>
          <a:chOff x="790" y="910"/>
          <a:chExt cx="240" cy="106"/>
        </a:xfrm>
      </xdr:grpSpPr>
      <xdr:sp macro="" textlink="">
        <xdr:nvSpPr>
          <xdr:cNvPr id="37" name="AutoShape 53"/>
          <xdr:cNvSpPr>
            <a:spLocks noChangeArrowheads="1"/>
          </xdr:cNvSpPr>
        </xdr:nvSpPr>
        <xdr:spPr bwMode="auto">
          <a:xfrm flipH="1">
            <a:off x="791" y="964"/>
            <a:ext cx="230" cy="52"/>
          </a:xfrm>
          <a:prstGeom prst="rtTriangle">
            <a:avLst/>
          </a:prstGeom>
          <a:solidFill>
            <a:srgbClr val="FFFFFF"/>
          </a:solidFill>
          <a:ln w="9525">
            <a:solidFill>
              <a:srgbClr val="000000"/>
            </a:solidFill>
            <a:miter lim="800000"/>
            <a:headEnd/>
            <a:tailEnd/>
          </a:ln>
        </xdr:spPr>
      </xdr:sp>
      <xdr:sp macro="" textlink="">
        <xdr:nvSpPr>
          <xdr:cNvPr id="38" name="Line 54"/>
          <xdr:cNvSpPr>
            <a:spLocks noChangeShapeType="1"/>
          </xdr:cNvSpPr>
        </xdr:nvSpPr>
        <xdr:spPr bwMode="auto">
          <a:xfrm>
            <a:off x="1030" y="918"/>
            <a:ext cx="0" cy="97"/>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9" name="Line 55"/>
          <xdr:cNvSpPr>
            <a:spLocks noChangeShapeType="1"/>
          </xdr:cNvSpPr>
        </xdr:nvSpPr>
        <xdr:spPr bwMode="auto">
          <a:xfrm flipV="1">
            <a:off x="790" y="910"/>
            <a:ext cx="228" cy="9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619125</xdr:colOff>
      <xdr:row>159</xdr:row>
      <xdr:rowOff>9525</xdr:rowOff>
    </xdr:from>
    <xdr:to>
      <xdr:col>11</xdr:col>
      <xdr:colOff>66675</xdr:colOff>
      <xdr:row>168</xdr:row>
      <xdr:rowOff>152400</xdr:rowOff>
    </xdr:to>
    <xdr:grpSp>
      <xdr:nvGrpSpPr>
        <xdr:cNvPr id="40" name="Group 75"/>
        <xdr:cNvGrpSpPr>
          <a:grpSpLocks/>
        </xdr:cNvGrpSpPr>
      </xdr:nvGrpSpPr>
      <xdr:grpSpPr bwMode="auto">
        <a:xfrm>
          <a:off x="8120063" y="26548556"/>
          <a:ext cx="2519362" cy="1643063"/>
          <a:chOff x="791" y="1033"/>
          <a:chExt cx="230" cy="168"/>
        </a:xfrm>
      </xdr:grpSpPr>
      <xdr:sp macro="" textlink="">
        <xdr:nvSpPr>
          <xdr:cNvPr id="41" name="AutoShape 64"/>
          <xdr:cNvSpPr>
            <a:spLocks noChangeArrowheads="1"/>
          </xdr:cNvSpPr>
        </xdr:nvSpPr>
        <xdr:spPr bwMode="auto">
          <a:xfrm flipH="1">
            <a:off x="791" y="1033"/>
            <a:ext cx="230" cy="161"/>
          </a:xfrm>
          <a:prstGeom prst="rtTriangle">
            <a:avLst/>
          </a:prstGeom>
          <a:solidFill>
            <a:srgbClr val="FFFFFF"/>
          </a:solidFill>
          <a:ln w="9525">
            <a:solidFill>
              <a:srgbClr val="000000"/>
            </a:solidFill>
            <a:miter lim="800000"/>
            <a:headEnd/>
            <a:tailEnd/>
          </a:ln>
        </xdr:spPr>
      </xdr:sp>
      <xdr:sp macro="" textlink="">
        <xdr:nvSpPr>
          <xdr:cNvPr id="42" name="Line 65"/>
          <xdr:cNvSpPr>
            <a:spLocks noChangeShapeType="1"/>
          </xdr:cNvSpPr>
        </xdr:nvSpPr>
        <xdr:spPr bwMode="auto">
          <a:xfrm flipH="1">
            <a:off x="792" y="1200"/>
            <a:ext cx="229"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3" name="Line 66"/>
          <xdr:cNvSpPr>
            <a:spLocks noChangeShapeType="1"/>
          </xdr:cNvSpPr>
        </xdr:nvSpPr>
        <xdr:spPr bwMode="auto">
          <a:xfrm flipV="1">
            <a:off x="792" y="1089"/>
            <a:ext cx="228" cy="9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171450</xdr:colOff>
      <xdr:row>188</xdr:row>
      <xdr:rowOff>85725</xdr:rowOff>
    </xdr:from>
    <xdr:to>
      <xdr:col>7</xdr:col>
      <xdr:colOff>533400</xdr:colOff>
      <xdr:row>196</xdr:row>
      <xdr:rowOff>57150</xdr:rowOff>
    </xdr:to>
    <xdr:grpSp>
      <xdr:nvGrpSpPr>
        <xdr:cNvPr id="44" name="Group 80"/>
        <xdr:cNvGrpSpPr>
          <a:grpSpLocks/>
        </xdr:cNvGrpSpPr>
      </xdr:nvGrpSpPr>
      <xdr:grpSpPr bwMode="auto">
        <a:xfrm>
          <a:off x="6696075" y="31458694"/>
          <a:ext cx="1338263" cy="1304925"/>
          <a:chOff x="593" y="1049"/>
          <a:chExt cx="99" cy="99"/>
        </a:xfrm>
      </xdr:grpSpPr>
      <xdr:sp macro="" textlink="">
        <xdr:nvSpPr>
          <xdr:cNvPr id="45" name="Oval 77"/>
          <xdr:cNvSpPr>
            <a:spLocks noChangeArrowheads="1"/>
          </xdr:cNvSpPr>
        </xdr:nvSpPr>
        <xdr:spPr bwMode="auto">
          <a:xfrm>
            <a:off x="593" y="1049"/>
            <a:ext cx="99" cy="99"/>
          </a:xfrm>
          <a:prstGeom prst="ellipse">
            <a:avLst/>
          </a:prstGeom>
          <a:solidFill>
            <a:srgbClr val="FFFFFF"/>
          </a:solidFill>
          <a:ln w="9525">
            <a:solidFill>
              <a:srgbClr val="000000"/>
            </a:solidFill>
            <a:round/>
            <a:headEnd/>
            <a:tailEnd/>
          </a:ln>
        </xdr:spPr>
      </xdr:sp>
      <xdr:sp macro="" textlink="">
        <xdr:nvSpPr>
          <xdr:cNvPr id="46" name="Line 78"/>
          <xdr:cNvSpPr>
            <a:spLocks noChangeShapeType="1"/>
          </xdr:cNvSpPr>
        </xdr:nvSpPr>
        <xdr:spPr bwMode="auto">
          <a:xfrm flipV="1">
            <a:off x="642" y="1065"/>
            <a:ext cx="36"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79"/>
          <xdr:cNvSpPr>
            <a:spLocks noChangeShapeType="1"/>
          </xdr:cNvSpPr>
        </xdr:nvSpPr>
        <xdr:spPr bwMode="auto">
          <a:xfrm flipV="1">
            <a:off x="643" y="1093"/>
            <a:ext cx="49"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13</xdr:col>
      <xdr:colOff>57150</xdr:colOff>
      <xdr:row>136</xdr:row>
      <xdr:rowOff>152400</xdr:rowOff>
    </xdr:from>
    <xdr:to>
      <xdr:col>16</xdr:col>
      <xdr:colOff>662199</xdr:colOff>
      <xdr:row>160</xdr:row>
      <xdr:rowOff>123825</xdr:rowOff>
    </xdr:to>
    <xdr:grpSp>
      <xdr:nvGrpSpPr>
        <xdr:cNvPr id="48" name="Group 1323"/>
        <xdr:cNvGrpSpPr>
          <a:grpSpLocks/>
        </xdr:cNvGrpSpPr>
      </xdr:nvGrpSpPr>
      <xdr:grpSpPr bwMode="auto">
        <a:xfrm>
          <a:off x="12011025" y="22857619"/>
          <a:ext cx="2676737" cy="3971925"/>
          <a:chOff x="662" y="337"/>
          <a:chExt cx="300" cy="439"/>
        </a:xfrm>
      </xdr:grpSpPr>
      <xdr:grpSp>
        <xdr:nvGrpSpPr>
          <xdr:cNvPr id="49" name="Group 1324"/>
          <xdr:cNvGrpSpPr>
            <a:grpSpLocks/>
          </xdr:cNvGrpSpPr>
        </xdr:nvGrpSpPr>
        <xdr:grpSpPr bwMode="auto">
          <a:xfrm>
            <a:off x="679" y="443"/>
            <a:ext cx="114" cy="227"/>
            <a:chOff x="477" y="469"/>
            <a:chExt cx="114" cy="227"/>
          </a:xfrm>
        </xdr:grpSpPr>
        <xdr:grpSp>
          <xdr:nvGrpSpPr>
            <xdr:cNvPr id="61" name="Group 1325"/>
            <xdr:cNvGrpSpPr>
              <a:grpSpLocks/>
            </xdr:cNvGrpSpPr>
          </xdr:nvGrpSpPr>
          <xdr:grpSpPr bwMode="auto">
            <a:xfrm>
              <a:off x="478" y="469"/>
              <a:ext cx="113" cy="227"/>
              <a:chOff x="477" y="439"/>
              <a:chExt cx="113" cy="227"/>
            </a:xfrm>
          </xdr:grpSpPr>
          <xdr:sp macro="" textlink="">
            <xdr:nvSpPr>
              <xdr:cNvPr id="63" name="Line 1326"/>
              <xdr:cNvSpPr>
                <a:spLocks noChangeShapeType="1"/>
              </xdr:cNvSpPr>
            </xdr:nvSpPr>
            <xdr:spPr bwMode="auto">
              <a:xfrm flipH="1">
                <a:off x="477" y="650"/>
                <a:ext cx="113"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4" name="Line 1327"/>
              <xdr:cNvSpPr>
                <a:spLocks noChangeShapeType="1"/>
              </xdr:cNvSpPr>
            </xdr:nvSpPr>
            <xdr:spPr bwMode="auto">
              <a:xfrm rot="3600000" flipH="1">
                <a:off x="420" y="553"/>
                <a:ext cx="227"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2" name="Line 1328"/>
            <xdr:cNvSpPr>
              <a:spLocks noChangeShapeType="1"/>
            </xdr:cNvSpPr>
          </xdr:nvSpPr>
          <xdr:spPr bwMode="auto">
            <a:xfrm>
              <a:off x="477" y="485"/>
              <a:ext cx="0" cy="196"/>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grpSp>
      <xdr:grpSp>
        <xdr:nvGrpSpPr>
          <xdr:cNvPr id="50" name="Group 1329"/>
          <xdr:cNvGrpSpPr>
            <a:grpSpLocks/>
          </xdr:cNvGrpSpPr>
        </xdr:nvGrpSpPr>
        <xdr:grpSpPr bwMode="auto">
          <a:xfrm>
            <a:off x="678" y="663"/>
            <a:ext cx="227" cy="113"/>
            <a:chOff x="354" y="669"/>
            <a:chExt cx="227" cy="113"/>
          </a:xfrm>
        </xdr:grpSpPr>
        <xdr:grpSp>
          <xdr:nvGrpSpPr>
            <xdr:cNvPr id="57" name="Group 1330"/>
            <xdr:cNvGrpSpPr>
              <a:grpSpLocks/>
            </xdr:cNvGrpSpPr>
          </xdr:nvGrpSpPr>
          <xdr:grpSpPr bwMode="auto">
            <a:xfrm>
              <a:off x="354" y="669"/>
              <a:ext cx="227" cy="113"/>
              <a:chOff x="354" y="669"/>
              <a:chExt cx="227" cy="113"/>
            </a:xfrm>
          </xdr:grpSpPr>
          <xdr:sp macro="" textlink="">
            <xdr:nvSpPr>
              <xdr:cNvPr id="59" name="Line 1331"/>
              <xdr:cNvSpPr>
                <a:spLocks noChangeShapeType="1"/>
              </xdr:cNvSpPr>
            </xdr:nvSpPr>
            <xdr:spPr bwMode="auto">
              <a:xfrm rot="5400000" flipH="1">
                <a:off x="299" y="726"/>
                <a:ext cx="113"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0" name="Line 1332"/>
              <xdr:cNvSpPr>
                <a:spLocks noChangeShapeType="1"/>
              </xdr:cNvSpPr>
            </xdr:nvSpPr>
            <xdr:spPr bwMode="auto">
              <a:xfrm flipH="1">
                <a:off x="354" y="782"/>
                <a:ext cx="227"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8" name="Line 1333"/>
            <xdr:cNvSpPr>
              <a:spLocks noChangeShapeType="1"/>
            </xdr:cNvSpPr>
          </xdr:nvSpPr>
          <xdr:spPr bwMode="auto">
            <a:xfrm>
              <a:off x="356" y="670"/>
              <a:ext cx="225" cy="112"/>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grpSp>
        <xdr:nvGrpSpPr>
          <xdr:cNvPr id="51" name="Group 1334"/>
          <xdr:cNvGrpSpPr>
            <a:grpSpLocks/>
          </xdr:cNvGrpSpPr>
        </xdr:nvGrpSpPr>
        <xdr:grpSpPr bwMode="auto">
          <a:xfrm>
            <a:off x="662" y="337"/>
            <a:ext cx="227" cy="113"/>
            <a:chOff x="379" y="361"/>
            <a:chExt cx="227" cy="113"/>
          </a:xfrm>
        </xdr:grpSpPr>
        <xdr:grpSp>
          <xdr:nvGrpSpPr>
            <xdr:cNvPr id="53" name="Group 1335"/>
            <xdr:cNvGrpSpPr>
              <a:grpSpLocks/>
            </xdr:cNvGrpSpPr>
          </xdr:nvGrpSpPr>
          <xdr:grpSpPr bwMode="auto">
            <a:xfrm>
              <a:off x="379" y="361"/>
              <a:ext cx="227" cy="113"/>
              <a:chOff x="332" y="706"/>
              <a:chExt cx="227" cy="113"/>
            </a:xfrm>
          </xdr:grpSpPr>
          <xdr:sp macro="" textlink="">
            <xdr:nvSpPr>
              <xdr:cNvPr id="55" name="Line 1336"/>
              <xdr:cNvSpPr>
                <a:spLocks noChangeShapeType="1"/>
              </xdr:cNvSpPr>
            </xdr:nvSpPr>
            <xdr:spPr bwMode="auto">
              <a:xfrm rot="5400000" flipH="1">
                <a:off x="290" y="763"/>
                <a:ext cx="113"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1337"/>
              <xdr:cNvSpPr>
                <a:spLocks noChangeShapeType="1"/>
              </xdr:cNvSpPr>
            </xdr:nvSpPr>
            <xdr:spPr bwMode="auto">
              <a:xfrm rot="1800000" flipH="1">
                <a:off x="332" y="761"/>
                <a:ext cx="227"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4" name="Line 1338"/>
            <xdr:cNvSpPr>
              <a:spLocks noChangeShapeType="1"/>
            </xdr:cNvSpPr>
          </xdr:nvSpPr>
          <xdr:spPr bwMode="auto">
            <a:xfrm>
              <a:off x="394" y="473"/>
              <a:ext cx="198"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52" name="Text Box 1339"/>
          <xdr:cNvSpPr txBox="1">
            <a:spLocks noChangeArrowheads="1"/>
          </xdr:cNvSpPr>
        </xdr:nvSpPr>
        <xdr:spPr bwMode="auto">
          <a:xfrm>
            <a:off x="760" y="502"/>
            <a:ext cx="202" cy="19"/>
          </a:xfrm>
          <a:prstGeom prst="rect">
            <a:avLst/>
          </a:prstGeom>
          <a:noFill/>
          <a:ln w="9525">
            <a:noFill/>
            <a:miter lim="800000"/>
            <a:headEnd/>
            <a:tailEnd/>
          </a:ln>
        </xdr:spPr>
        <xdr:txBody>
          <a:bodyPr wrap="none" lIns="18288" tIns="18288" rIns="0" bIns="0" anchor="t" upright="1">
            <a:spAutoFit/>
          </a:bodyPr>
          <a:lstStyle/>
          <a:p>
            <a:pPr algn="l" rtl="0">
              <a:defRPr sz="1000"/>
            </a:pPr>
            <a:r>
              <a:rPr lang="de-DE" sz="1000" b="0" i="0" strike="noStrike">
                <a:solidFill>
                  <a:srgbClr val="000000"/>
                </a:solidFill>
                <a:latin typeface="Arial"/>
                <a:cs typeface="Arial"/>
              </a:rPr>
              <a:t>gleiches Streckenverhältnis 0,5</a:t>
            </a:r>
          </a:p>
        </xdr:txBody>
      </xdr:sp>
    </xdr:grpSp>
    <xdr:clientData/>
  </xdr:twoCellAnchor>
  <xdr:twoCellAnchor>
    <xdr:from>
      <xdr:col>5</xdr:col>
      <xdr:colOff>14287</xdr:colOff>
      <xdr:row>1</xdr:row>
      <xdr:rowOff>71797</xdr:rowOff>
    </xdr:from>
    <xdr:to>
      <xdr:col>6</xdr:col>
      <xdr:colOff>639762</xdr:colOff>
      <xdr:row>11</xdr:row>
      <xdr:rowOff>104775</xdr:rowOff>
    </xdr:to>
    <xdr:grpSp>
      <xdr:nvGrpSpPr>
        <xdr:cNvPr id="65" name="Gruppieren 6"/>
        <xdr:cNvGrpSpPr>
          <a:grpSpLocks/>
        </xdr:cNvGrpSpPr>
      </xdr:nvGrpSpPr>
      <xdr:grpSpPr bwMode="auto">
        <a:xfrm>
          <a:off x="5514975" y="238485"/>
          <a:ext cx="1649412" cy="1699853"/>
          <a:chOff x="5105400" y="438150"/>
          <a:chExt cx="2495550" cy="2495550"/>
        </a:xfrm>
      </xdr:grpSpPr>
      <xdr:sp macro="" textlink="">
        <xdr:nvSpPr>
          <xdr:cNvPr id="66" name="Ellipse 1"/>
          <xdr:cNvSpPr>
            <a:spLocks noChangeArrowheads="1"/>
          </xdr:cNvSpPr>
        </xdr:nvSpPr>
        <xdr:spPr bwMode="auto">
          <a:xfrm>
            <a:off x="5105400" y="438150"/>
            <a:ext cx="2495550" cy="2495550"/>
          </a:xfrm>
          <a:prstGeom prst="ellipse">
            <a:avLst/>
          </a:prstGeom>
          <a:solidFill>
            <a:srgbClr val="FFFFFF"/>
          </a:solidFill>
          <a:ln w="9525" algn="ctr">
            <a:solidFill>
              <a:srgbClr val="000000"/>
            </a:solidFill>
            <a:round/>
            <a:headEnd/>
            <a:tailEnd/>
          </a:ln>
        </xdr:spPr>
      </xdr:sp>
      <xdr:cxnSp macro="">
        <xdr:nvCxnSpPr>
          <xdr:cNvPr id="67" name="Gerade Verbindung 3"/>
          <xdr:cNvCxnSpPr>
            <a:cxnSpLocks noChangeShapeType="1"/>
          </xdr:cNvCxnSpPr>
        </xdr:nvCxnSpPr>
        <xdr:spPr bwMode="auto">
          <a:xfrm flipV="1">
            <a:off x="6362700" y="504825"/>
            <a:ext cx="390525" cy="12096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8" name="Gerade Verbindung 5"/>
          <xdr:cNvCxnSpPr>
            <a:cxnSpLocks noChangeShapeType="1"/>
          </xdr:cNvCxnSpPr>
        </xdr:nvCxnSpPr>
        <xdr:spPr bwMode="auto">
          <a:xfrm flipV="1">
            <a:off x="6353175" y="1190625"/>
            <a:ext cx="1143000" cy="5429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xdr:col>
      <xdr:colOff>803275</xdr:colOff>
      <xdr:row>42</xdr:row>
      <xdr:rowOff>30163</xdr:rowOff>
    </xdr:from>
    <xdr:to>
      <xdr:col>5</xdr:col>
      <xdr:colOff>722313</xdr:colOff>
      <xdr:row>51</xdr:row>
      <xdr:rowOff>55563</xdr:rowOff>
    </xdr:to>
    <xdr:sp macro="" textlink="">
      <xdr:nvSpPr>
        <xdr:cNvPr id="69" name="Kreis 68"/>
        <xdr:cNvSpPr/>
      </xdr:nvSpPr>
      <xdr:spPr bwMode="auto">
        <a:xfrm>
          <a:off x="4117975" y="7640638"/>
          <a:ext cx="1747838" cy="1482725"/>
        </a:xfrm>
        <a:prstGeom prst="pie">
          <a:avLst>
            <a:gd name="adj1" fmla="val 12712980"/>
            <a:gd name="adj2" fmla="val 1620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endParaRPr lang="de-DE"/>
        </a:p>
      </xdr:txBody>
    </xdr:sp>
    <xdr:clientData/>
  </xdr:twoCellAnchor>
  <xdr:twoCellAnchor>
    <xdr:from>
      <xdr:col>5</xdr:col>
      <xdr:colOff>619125</xdr:colOff>
      <xdr:row>14</xdr:row>
      <xdr:rowOff>104775</xdr:rowOff>
    </xdr:from>
    <xdr:to>
      <xdr:col>9</xdr:col>
      <xdr:colOff>660400</xdr:colOff>
      <xdr:row>28</xdr:row>
      <xdr:rowOff>120650</xdr:rowOff>
    </xdr:to>
    <xdr:sp macro="" textlink="">
      <xdr:nvSpPr>
        <xdr:cNvPr id="70" name="Text Box 5"/>
        <xdr:cNvSpPr txBox="1">
          <a:spLocks noChangeArrowheads="1"/>
        </xdr:cNvSpPr>
      </xdr:nvSpPr>
      <xdr:spPr bwMode="auto">
        <a:xfrm>
          <a:off x="5524500" y="2371725"/>
          <a:ext cx="3622675" cy="2282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Bogenmaß</a:t>
          </a:r>
        </a:p>
        <a:p>
          <a:pPr algn="l" rtl="0">
            <a:defRPr sz="1000"/>
          </a:pP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Kreis umfasst 360 Grad</a:t>
          </a:r>
        </a:p>
        <a:p>
          <a:pPr algn="l" rtl="0">
            <a:defRPr sz="1000"/>
          </a:pPr>
          <a:r>
            <a:rPr lang="de-DE" sz="1000" b="0" i="0" strike="noStrike">
              <a:solidFill>
                <a:srgbClr val="000000"/>
              </a:solidFill>
              <a:latin typeface="Arial"/>
              <a:cs typeface="Arial"/>
            </a:rPr>
            <a:t>Kreisumfang =  2 * pi * r</a:t>
          </a:r>
        </a:p>
        <a:p>
          <a:pPr algn="l" rtl="0">
            <a:defRPr sz="1000"/>
          </a:pPr>
          <a:r>
            <a:rPr lang="de-DE" sz="1000" b="0" i="0" strike="noStrike">
              <a:solidFill>
                <a:srgbClr val="000000"/>
              </a:solidFill>
              <a:latin typeface="Arial"/>
              <a:cs typeface="Arial"/>
            </a:rPr>
            <a:t>360° entsprechen dem Kreisumfang</a:t>
          </a:r>
        </a:p>
        <a:p>
          <a:pPr algn="l" rtl="0">
            <a:defRPr sz="1000"/>
          </a:pPr>
          <a:r>
            <a:rPr lang="de-DE" sz="1000" b="0" i="0" strike="noStrike">
              <a:solidFill>
                <a:srgbClr val="000000"/>
              </a:solidFill>
              <a:latin typeface="Arial"/>
              <a:cs typeface="Arial"/>
            </a:rPr>
            <a:t>Wenn man r = 1 setzt gilt:</a:t>
          </a:r>
        </a:p>
        <a:p>
          <a:pPr algn="l" rtl="0">
            <a:defRPr sz="1000"/>
          </a:pPr>
          <a:r>
            <a:rPr lang="de-DE" sz="1000" b="0" i="0" strike="noStrike">
              <a:solidFill>
                <a:srgbClr val="000000"/>
              </a:solidFill>
              <a:latin typeface="Arial"/>
              <a:cs typeface="Arial"/>
            </a:rPr>
            <a:t>360° = 2 * pi</a:t>
          </a:r>
        </a:p>
        <a:p>
          <a:pPr algn="l" rtl="0">
            <a:defRPr sz="1000"/>
          </a:pPr>
          <a:r>
            <a:rPr lang="de-DE" sz="1000" b="0" i="0" strike="noStrike">
              <a:solidFill>
                <a:srgbClr val="000000"/>
              </a:solidFill>
              <a:latin typeface="Arial"/>
              <a:cs typeface="Arial"/>
            </a:rPr>
            <a:t>180° = pi</a:t>
          </a:r>
        </a:p>
        <a:p>
          <a:pPr algn="l" rtl="0">
            <a:defRPr sz="1000"/>
          </a:pPr>
          <a:r>
            <a:rPr lang="de-DE" sz="1000" b="0" i="0" strike="noStrike">
              <a:solidFill>
                <a:srgbClr val="000000"/>
              </a:solidFill>
              <a:latin typeface="Arial"/>
              <a:cs typeface="Arial"/>
            </a:rPr>
            <a:t>90°   =  0,5 * pi usw.</a:t>
          </a:r>
        </a:p>
        <a:p>
          <a:pPr algn="l" rtl="0">
            <a:defRPr sz="1000"/>
          </a:pPr>
          <a:r>
            <a:rPr lang="de-DE" sz="1000" b="0" i="0" strike="noStrike">
              <a:solidFill>
                <a:srgbClr val="000000"/>
              </a:solidFill>
              <a:latin typeface="Arial"/>
              <a:cs typeface="Arial"/>
            </a:rPr>
            <a:t>Weil pi = 3,14… ist, ergibt sich</a:t>
          </a:r>
        </a:p>
        <a:p>
          <a:pPr algn="l" rtl="0">
            <a:defRPr sz="1000"/>
          </a:pPr>
          <a:r>
            <a:rPr lang="de-DE" sz="1000" b="0" i="0" strike="noStrike">
              <a:solidFill>
                <a:srgbClr val="000000"/>
              </a:solidFill>
              <a:latin typeface="Arial"/>
              <a:cs typeface="Arial"/>
            </a:rPr>
            <a:t>90°    = 0,5 * 3,14…   =  1,57</a:t>
          </a:r>
        </a:p>
        <a:p>
          <a:pPr algn="l" rtl="0">
            <a:defRPr sz="1000"/>
          </a:pPr>
          <a:r>
            <a:rPr lang="de-DE" sz="1000" b="0" i="0" strike="noStrike">
              <a:solidFill>
                <a:srgbClr val="000000"/>
              </a:solidFill>
              <a:latin typeface="Arial"/>
              <a:cs typeface="Arial"/>
            </a:rPr>
            <a:t>Jeder Winkel kann als Bogenmaß beschrieben werden.</a:t>
          </a: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xdr:txBody>
    </xdr:sp>
    <xdr:clientData/>
  </xdr:twoCellAnchor>
  <xdr:twoCellAnchor editAs="oneCell">
    <xdr:from>
      <xdr:col>17</xdr:col>
      <xdr:colOff>219075</xdr:colOff>
      <xdr:row>157</xdr:row>
      <xdr:rowOff>133350</xdr:rowOff>
    </xdr:from>
    <xdr:to>
      <xdr:col>20</xdr:col>
      <xdr:colOff>333375</xdr:colOff>
      <xdr:row>169</xdr:row>
      <xdr:rowOff>133350</xdr:rowOff>
    </xdr:to>
    <xdr:pic>
      <xdr:nvPicPr>
        <xdr:cNvPr id="71" name="Picture 1" descr="steigung0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06550" y="25641300"/>
          <a:ext cx="21717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923925</xdr:colOff>
      <xdr:row>243</xdr:row>
      <xdr:rowOff>133350</xdr:rowOff>
    </xdr:from>
    <xdr:to>
      <xdr:col>5</xdr:col>
      <xdr:colOff>285750</xdr:colOff>
      <xdr:row>254</xdr:row>
      <xdr:rowOff>0</xdr:rowOff>
    </xdr:to>
    <xdr:grpSp>
      <xdr:nvGrpSpPr>
        <xdr:cNvPr id="97" name="Group 13"/>
        <xdr:cNvGrpSpPr>
          <a:grpSpLocks/>
        </xdr:cNvGrpSpPr>
      </xdr:nvGrpSpPr>
      <xdr:grpSpPr bwMode="auto">
        <a:xfrm>
          <a:off x="1614488" y="40674131"/>
          <a:ext cx="4171950" cy="1700213"/>
          <a:chOff x="178" y="1073"/>
          <a:chExt cx="348" cy="173"/>
        </a:xfrm>
      </xdr:grpSpPr>
      <xdr:sp macro="" textlink="">
        <xdr:nvSpPr>
          <xdr:cNvPr id="98" name="Rectangle 1"/>
          <xdr:cNvSpPr>
            <a:spLocks noChangeArrowheads="1"/>
          </xdr:cNvSpPr>
        </xdr:nvSpPr>
        <xdr:spPr bwMode="auto">
          <a:xfrm>
            <a:off x="370" y="1098"/>
            <a:ext cx="104" cy="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Line 2"/>
          <xdr:cNvSpPr>
            <a:spLocks noChangeShapeType="1"/>
          </xdr:cNvSpPr>
        </xdr:nvSpPr>
        <xdr:spPr bwMode="auto">
          <a:xfrm>
            <a:off x="185" y="1074"/>
            <a:ext cx="293" cy="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 name="Line 3"/>
          <xdr:cNvSpPr>
            <a:spLocks noChangeShapeType="1"/>
          </xdr:cNvSpPr>
        </xdr:nvSpPr>
        <xdr:spPr bwMode="auto">
          <a:xfrm flipH="1">
            <a:off x="181" y="1097"/>
            <a:ext cx="293" cy="9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Line 4"/>
          <xdr:cNvSpPr>
            <a:spLocks noChangeShapeType="1"/>
          </xdr:cNvSpPr>
        </xdr:nvSpPr>
        <xdr:spPr bwMode="auto">
          <a:xfrm>
            <a:off x="178" y="1073"/>
            <a:ext cx="0" cy="118"/>
          </a:xfrm>
          <a:prstGeom prst="line">
            <a:avLst/>
          </a:prstGeom>
          <a:noFill/>
          <a:ln w="2857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Line 5"/>
          <xdr:cNvSpPr>
            <a:spLocks noChangeShapeType="1"/>
          </xdr:cNvSpPr>
        </xdr:nvSpPr>
        <xdr:spPr bwMode="auto">
          <a:xfrm>
            <a:off x="181" y="1216"/>
            <a:ext cx="189"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6"/>
          <xdr:cNvSpPr txBox="1">
            <a:spLocks noChangeArrowheads="1"/>
          </xdr:cNvSpPr>
        </xdr:nvSpPr>
        <xdr:spPr bwMode="auto">
          <a:xfrm>
            <a:off x="183" y="1107"/>
            <a:ext cx="24"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36576" tIns="0" rIns="0" bIns="0" anchor="t" upright="1"/>
          <a:lstStyle/>
          <a:p>
            <a:pPr algn="l" rtl="0">
              <a:defRPr sz="1000"/>
            </a:pPr>
            <a:r>
              <a:rPr lang="de-DE" sz="1400" b="1" i="0" u="none" strike="noStrike" baseline="0">
                <a:solidFill>
                  <a:srgbClr val="FF0000"/>
                </a:solidFill>
                <a:latin typeface="Arial"/>
                <a:cs typeface="Arial"/>
              </a:rPr>
              <a:t>?</a:t>
            </a:r>
          </a:p>
        </xdr:txBody>
      </xdr:sp>
      <xdr:sp macro="" textlink="">
        <xdr:nvSpPr>
          <xdr:cNvPr id="104" name="Text Box 7"/>
          <xdr:cNvSpPr txBox="1">
            <a:spLocks noChangeArrowheads="1"/>
          </xdr:cNvSpPr>
        </xdr:nvSpPr>
        <xdr:spPr bwMode="auto">
          <a:xfrm>
            <a:off x="310" y="1118"/>
            <a:ext cx="25"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36576" tIns="0" rIns="0" bIns="0" anchor="t" upright="1"/>
          <a:lstStyle/>
          <a:p>
            <a:pPr algn="l" rtl="0">
              <a:defRPr sz="1000"/>
            </a:pPr>
            <a:r>
              <a:rPr lang="de-DE" sz="1400" b="1" i="0" u="none" strike="noStrike" baseline="0">
                <a:solidFill>
                  <a:srgbClr val="FF0000"/>
                </a:solidFill>
                <a:latin typeface="Arial"/>
                <a:cs typeface="Arial"/>
              </a:rPr>
              <a:t>?</a:t>
            </a:r>
          </a:p>
        </xdr:txBody>
      </xdr:sp>
      <xdr:sp macro="" textlink="">
        <xdr:nvSpPr>
          <xdr:cNvPr id="105" name="Text Box 9"/>
          <xdr:cNvSpPr txBox="1">
            <a:spLocks noChangeArrowheads="1"/>
          </xdr:cNvSpPr>
        </xdr:nvSpPr>
        <xdr:spPr bwMode="auto">
          <a:xfrm>
            <a:off x="249" y="1226"/>
            <a:ext cx="71" cy="2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800 cm</a:t>
            </a:r>
          </a:p>
        </xdr:txBody>
      </xdr:sp>
      <xdr:sp macro="" textlink="">
        <xdr:nvSpPr>
          <xdr:cNvPr id="106" name="Text Box 10"/>
          <xdr:cNvSpPr txBox="1">
            <a:spLocks noChangeArrowheads="1"/>
          </xdr:cNvSpPr>
        </xdr:nvSpPr>
        <xdr:spPr bwMode="auto">
          <a:xfrm>
            <a:off x="479" y="1116"/>
            <a:ext cx="47" cy="2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16 cm</a:t>
            </a:r>
          </a:p>
        </xdr:txBody>
      </xdr:sp>
      <xdr:sp macro="" textlink="">
        <xdr:nvSpPr>
          <xdr:cNvPr id="107" name="Text Box 11"/>
          <xdr:cNvSpPr txBox="1">
            <a:spLocks noChangeArrowheads="1"/>
          </xdr:cNvSpPr>
        </xdr:nvSpPr>
        <xdr:spPr bwMode="auto">
          <a:xfrm>
            <a:off x="398" y="1168"/>
            <a:ext cx="47" cy="2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36 cm</a:t>
            </a:r>
          </a:p>
        </xdr:txBody>
      </xdr:sp>
      <xdr:sp macro="" textlink="">
        <xdr:nvSpPr>
          <xdr:cNvPr id="108" name="Line 12"/>
          <xdr:cNvSpPr>
            <a:spLocks noChangeShapeType="1"/>
          </xdr:cNvSpPr>
        </xdr:nvSpPr>
        <xdr:spPr bwMode="auto">
          <a:xfrm>
            <a:off x="181" y="1130"/>
            <a:ext cx="29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xdr:col>
      <xdr:colOff>38099</xdr:colOff>
      <xdr:row>245</xdr:row>
      <xdr:rowOff>38100</xdr:rowOff>
    </xdr:from>
    <xdr:to>
      <xdr:col>4</xdr:col>
      <xdr:colOff>542924</xdr:colOff>
      <xdr:row>247</xdr:row>
      <xdr:rowOff>38100</xdr:rowOff>
    </xdr:to>
    <xdr:sp macro="" textlink="">
      <xdr:nvSpPr>
        <xdr:cNvPr id="109" name="AutoShape 14"/>
        <xdr:cNvSpPr>
          <a:spLocks noChangeArrowheads="1"/>
        </xdr:cNvSpPr>
      </xdr:nvSpPr>
      <xdr:spPr bwMode="auto">
        <a:xfrm flipH="1">
          <a:off x="3943349" y="39795450"/>
          <a:ext cx="1190625" cy="323850"/>
        </a:xfrm>
        <a:prstGeom prst="rtTriangle">
          <a:avLst/>
        </a:prstGeom>
        <a:solidFill>
          <a:srgbClr xmlns:mc="http://schemas.openxmlformats.org/markup-compatibility/2006" xmlns:a14="http://schemas.microsoft.com/office/drawing/2010/main" val="CCFFFF" mc:Ignorable="a14" a14:legacySpreadsheetColorIndex="4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495300</xdr:colOff>
      <xdr:row>274</xdr:row>
      <xdr:rowOff>66675</xdr:rowOff>
    </xdr:from>
    <xdr:to>
      <xdr:col>4</xdr:col>
      <xdr:colOff>361950</xdr:colOff>
      <xdr:row>284</xdr:row>
      <xdr:rowOff>95250</xdr:rowOff>
    </xdr:to>
    <xdr:grpSp>
      <xdr:nvGrpSpPr>
        <xdr:cNvPr id="110" name="Group 27"/>
        <xdr:cNvGrpSpPr>
          <a:grpSpLocks/>
        </xdr:cNvGrpSpPr>
      </xdr:nvGrpSpPr>
      <xdr:grpSpPr bwMode="auto">
        <a:xfrm>
          <a:off x="495300" y="45774769"/>
          <a:ext cx="4462463" cy="1695450"/>
          <a:chOff x="52" y="1571"/>
          <a:chExt cx="401" cy="173"/>
        </a:xfrm>
      </xdr:grpSpPr>
      <xdr:sp macro="" textlink="">
        <xdr:nvSpPr>
          <xdr:cNvPr id="111" name="Rectangle 16"/>
          <xdr:cNvSpPr>
            <a:spLocks noChangeArrowheads="1"/>
          </xdr:cNvSpPr>
        </xdr:nvSpPr>
        <xdr:spPr bwMode="auto">
          <a:xfrm>
            <a:off x="297" y="1596"/>
            <a:ext cx="104" cy="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2" name="Line 17"/>
          <xdr:cNvSpPr>
            <a:spLocks noChangeShapeType="1"/>
          </xdr:cNvSpPr>
        </xdr:nvSpPr>
        <xdr:spPr bwMode="auto">
          <a:xfrm>
            <a:off x="112" y="1572"/>
            <a:ext cx="293" cy="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3" name="Line 18"/>
          <xdr:cNvSpPr>
            <a:spLocks noChangeShapeType="1"/>
          </xdr:cNvSpPr>
        </xdr:nvSpPr>
        <xdr:spPr bwMode="auto">
          <a:xfrm flipH="1">
            <a:off x="108" y="1595"/>
            <a:ext cx="293" cy="9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Line 19"/>
          <xdr:cNvSpPr>
            <a:spLocks noChangeShapeType="1"/>
          </xdr:cNvSpPr>
        </xdr:nvSpPr>
        <xdr:spPr bwMode="auto">
          <a:xfrm>
            <a:off x="105" y="1571"/>
            <a:ext cx="0" cy="118"/>
          </a:xfrm>
          <a:prstGeom prst="line">
            <a:avLst/>
          </a:prstGeom>
          <a:noFill/>
          <a:ln w="28575">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5" name="Line 20"/>
          <xdr:cNvSpPr>
            <a:spLocks noChangeShapeType="1"/>
          </xdr:cNvSpPr>
        </xdr:nvSpPr>
        <xdr:spPr bwMode="auto">
          <a:xfrm>
            <a:off x="108" y="1714"/>
            <a:ext cx="189"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6" name="Text Box 21"/>
          <xdr:cNvSpPr txBox="1">
            <a:spLocks noChangeArrowheads="1"/>
          </xdr:cNvSpPr>
        </xdr:nvSpPr>
        <xdr:spPr bwMode="auto">
          <a:xfrm>
            <a:off x="194" y="1603"/>
            <a:ext cx="24"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36576" tIns="0" rIns="0" bIns="0" anchor="t" upright="1"/>
          <a:lstStyle/>
          <a:p>
            <a:pPr algn="l" rtl="0">
              <a:defRPr sz="1000"/>
            </a:pPr>
            <a:r>
              <a:rPr lang="de-DE" sz="1400" b="1" i="0" u="none" strike="noStrike" baseline="0">
                <a:solidFill>
                  <a:srgbClr val="FF0000"/>
                </a:solidFill>
                <a:latin typeface="Arial"/>
                <a:cs typeface="Arial"/>
              </a:rPr>
              <a:t>?</a:t>
            </a:r>
          </a:p>
        </xdr:txBody>
      </xdr:sp>
      <xdr:sp macro="" textlink="">
        <xdr:nvSpPr>
          <xdr:cNvPr id="117" name="Text Box 22"/>
          <xdr:cNvSpPr txBox="1">
            <a:spLocks noChangeArrowheads="1"/>
          </xdr:cNvSpPr>
        </xdr:nvSpPr>
        <xdr:spPr bwMode="auto">
          <a:xfrm>
            <a:off x="337" y="1662"/>
            <a:ext cx="24"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36576" tIns="0" rIns="0" bIns="0" anchor="t" upright="1"/>
          <a:lstStyle/>
          <a:p>
            <a:pPr algn="l" rtl="0">
              <a:defRPr sz="1000"/>
            </a:pPr>
            <a:r>
              <a:rPr lang="de-DE" sz="1400" b="1" i="0" u="none" strike="noStrike" baseline="0">
                <a:solidFill>
                  <a:srgbClr val="FF0000"/>
                </a:solidFill>
                <a:latin typeface="Arial"/>
                <a:cs typeface="Arial"/>
              </a:rPr>
              <a:t>?</a:t>
            </a:r>
          </a:p>
        </xdr:txBody>
      </xdr:sp>
      <xdr:sp macro="" textlink="">
        <xdr:nvSpPr>
          <xdr:cNvPr id="118" name="Text Box 23"/>
          <xdr:cNvSpPr txBox="1">
            <a:spLocks noChangeArrowheads="1"/>
          </xdr:cNvSpPr>
        </xdr:nvSpPr>
        <xdr:spPr bwMode="auto">
          <a:xfrm>
            <a:off x="176" y="1724"/>
            <a:ext cx="71" cy="2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500 cm</a:t>
            </a:r>
          </a:p>
        </xdr:txBody>
      </xdr:sp>
      <xdr:sp macro="" textlink="">
        <xdr:nvSpPr>
          <xdr:cNvPr id="119" name="Text Box 24"/>
          <xdr:cNvSpPr txBox="1">
            <a:spLocks noChangeArrowheads="1"/>
          </xdr:cNvSpPr>
        </xdr:nvSpPr>
        <xdr:spPr bwMode="auto">
          <a:xfrm>
            <a:off x="406" y="1614"/>
            <a:ext cx="47" cy="2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12 cm</a:t>
            </a:r>
          </a:p>
        </xdr:txBody>
      </xdr:sp>
      <xdr:sp macro="" textlink="">
        <xdr:nvSpPr>
          <xdr:cNvPr id="120" name="Text Box 25"/>
          <xdr:cNvSpPr txBox="1">
            <a:spLocks noChangeArrowheads="1"/>
          </xdr:cNvSpPr>
        </xdr:nvSpPr>
        <xdr:spPr bwMode="auto">
          <a:xfrm>
            <a:off x="52" y="1614"/>
            <a:ext cx="47" cy="2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360 cm</a:t>
            </a:r>
          </a:p>
        </xdr:txBody>
      </xdr:sp>
      <xdr:sp macro="" textlink="">
        <xdr:nvSpPr>
          <xdr:cNvPr id="121" name="Line 26"/>
          <xdr:cNvSpPr>
            <a:spLocks noChangeShapeType="1"/>
          </xdr:cNvSpPr>
        </xdr:nvSpPr>
        <xdr:spPr bwMode="auto">
          <a:xfrm>
            <a:off x="108" y="1628"/>
            <a:ext cx="29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638175</xdr:colOff>
      <xdr:row>313</xdr:row>
      <xdr:rowOff>66675</xdr:rowOff>
    </xdr:from>
    <xdr:to>
      <xdr:col>3</xdr:col>
      <xdr:colOff>390525</xdr:colOff>
      <xdr:row>322</xdr:row>
      <xdr:rowOff>9525</xdr:rowOff>
    </xdr:to>
    <xdr:sp macro="" textlink="">
      <xdr:nvSpPr>
        <xdr:cNvPr id="122" name="Rectangle 38"/>
        <xdr:cNvSpPr>
          <a:spLocks noChangeArrowheads="1"/>
        </xdr:cNvSpPr>
      </xdr:nvSpPr>
      <xdr:spPr bwMode="auto">
        <a:xfrm>
          <a:off x="1400175" y="9296400"/>
          <a:ext cx="2838450" cy="1400175"/>
        </a:xfrm>
        <a:prstGeom prst="rect">
          <a:avLst/>
        </a:prstGeom>
        <a:solidFill>
          <a:srgbClr val="FFFF99">
            <a:alpha val="25882"/>
          </a:srgbClr>
        </a:solidFill>
        <a:ln w="9525">
          <a:solidFill>
            <a:srgbClr val="000000"/>
          </a:solidFill>
          <a:miter lim="800000"/>
          <a:headEnd/>
          <a:tailEnd/>
        </a:ln>
      </xdr:spPr>
    </xdr:sp>
    <xdr:clientData/>
  </xdr:twoCellAnchor>
  <xdr:twoCellAnchor>
    <xdr:from>
      <xdr:col>1</xdr:col>
      <xdr:colOff>638175</xdr:colOff>
      <xdr:row>314</xdr:row>
      <xdr:rowOff>66675</xdr:rowOff>
    </xdr:from>
    <xdr:to>
      <xdr:col>2</xdr:col>
      <xdr:colOff>561975</xdr:colOff>
      <xdr:row>322</xdr:row>
      <xdr:rowOff>9525</xdr:rowOff>
    </xdr:to>
    <xdr:sp macro="" textlink="">
      <xdr:nvSpPr>
        <xdr:cNvPr id="123" name="Rectangle 39"/>
        <xdr:cNvSpPr>
          <a:spLocks noChangeArrowheads="1"/>
        </xdr:cNvSpPr>
      </xdr:nvSpPr>
      <xdr:spPr bwMode="auto">
        <a:xfrm>
          <a:off x="1400175" y="9458325"/>
          <a:ext cx="1743075" cy="1238250"/>
        </a:xfrm>
        <a:prstGeom prst="rect">
          <a:avLst/>
        </a:prstGeom>
        <a:solidFill>
          <a:srgbClr val="0000FF">
            <a:alpha val="25882"/>
          </a:srgbClr>
        </a:solidFill>
        <a:ln w="9525">
          <a:solidFill>
            <a:srgbClr val="000000"/>
          </a:solidFill>
          <a:miter lim="800000"/>
          <a:headEnd/>
          <a:tailEnd/>
        </a:ln>
      </xdr:spPr>
    </xdr:sp>
    <xdr:clientData/>
  </xdr:twoCellAnchor>
  <xdr:twoCellAnchor>
    <xdr:from>
      <xdr:col>1</xdr:col>
      <xdr:colOff>361950</xdr:colOff>
      <xdr:row>317</xdr:row>
      <xdr:rowOff>9525</xdr:rowOff>
    </xdr:from>
    <xdr:to>
      <xdr:col>3</xdr:col>
      <xdr:colOff>123825</xdr:colOff>
      <xdr:row>317</xdr:row>
      <xdr:rowOff>9525</xdr:rowOff>
    </xdr:to>
    <xdr:sp macro="" textlink="">
      <xdr:nvSpPr>
        <xdr:cNvPr id="124" name="Line 36"/>
        <xdr:cNvSpPr>
          <a:spLocks noChangeShapeType="1"/>
        </xdr:cNvSpPr>
      </xdr:nvSpPr>
      <xdr:spPr bwMode="auto">
        <a:xfrm rot="-2160000">
          <a:off x="1123950" y="9886950"/>
          <a:ext cx="28479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638175</xdr:colOff>
      <xdr:row>322</xdr:row>
      <xdr:rowOff>38100</xdr:rowOff>
    </xdr:from>
    <xdr:to>
      <xdr:col>3</xdr:col>
      <xdr:colOff>400050</xdr:colOff>
      <xdr:row>322</xdr:row>
      <xdr:rowOff>38100</xdr:rowOff>
    </xdr:to>
    <xdr:sp macro="" textlink="">
      <xdr:nvSpPr>
        <xdr:cNvPr id="125" name="Line 37"/>
        <xdr:cNvSpPr>
          <a:spLocks noChangeShapeType="1"/>
        </xdr:cNvSpPr>
      </xdr:nvSpPr>
      <xdr:spPr bwMode="auto">
        <a:xfrm>
          <a:off x="1400175" y="10725150"/>
          <a:ext cx="28479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1343025</xdr:colOff>
      <xdr:row>310</xdr:row>
      <xdr:rowOff>57150</xdr:rowOff>
    </xdr:from>
    <xdr:to>
      <xdr:col>1</xdr:col>
      <xdr:colOff>1343025</xdr:colOff>
      <xdr:row>323</xdr:row>
      <xdr:rowOff>114300</xdr:rowOff>
    </xdr:to>
    <xdr:sp macro="" textlink="">
      <xdr:nvSpPr>
        <xdr:cNvPr id="126" name="Line 40"/>
        <xdr:cNvSpPr>
          <a:spLocks noChangeShapeType="1"/>
        </xdr:cNvSpPr>
      </xdr:nvSpPr>
      <xdr:spPr bwMode="auto">
        <a:xfrm rot="-3000000">
          <a:off x="1023937" y="9882188"/>
          <a:ext cx="21621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638175</xdr:colOff>
      <xdr:row>311</xdr:row>
      <xdr:rowOff>142875</xdr:rowOff>
    </xdr:from>
    <xdr:to>
      <xdr:col>2</xdr:col>
      <xdr:colOff>238125</xdr:colOff>
      <xdr:row>322</xdr:row>
      <xdr:rowOff>19050</xdr:rowOff>
    </xdr:to>
    <xdr:sp macro="" textlink="">
      <xdr:nvSpPr>
        <xdr:cNvPr id="127" name="Rectangle 41"/>
        <xdr:cNvSpPr>
          <a:spLocks noChangeArrowheads="1"/>
        </xdr:cNvSpPr>
      </xdr:nvSpPr>
      <xdr:spPr bwMode="auto">
        <a:xfrm>
          <a:off x="1400175" y="9048750"/>
          <a:ext cx="1419225" cy="1657350"/>
        </a:xfrm>
        <a:prstGeom prst="rect">
          <a:avLst/>
        </a:prstGeom>
        <a:solidFill>
          <a:srgbClr val="FF00FF">
            <a:alpha val="25882"/>
          </a:srgbClr>
        </a:solidFill>
        <a:ln w="9525">
          <a:solidFill>
            <a:srgbClr val="000000"/>
          </a:solidFill>
          <a:miter lim="800000"/>
          <a:headEnd/>
          <a:tailEnd/>
        </a:ln>
      </xdr:spPr>
    </xdr:sp>
    <xdr:clientData/>
  </xdr:twoCellAnchor>
  <xdr:twoCellAnchor>
    <xdr:from>
      <xdr:col>3</xdr:col>
      <xdr:colOff>733425</xdr:colOff>
      <xdr:row>314</xdr:row>
      <xdr:rowOff>114300</xdr:rowOff>
    </xdr:from>
    <xdr:to>
      <xdr:col>3</xdr:col>
      <xdr:colOff>733425</xdr:colOff>
      <xdr:row>322</xdr:row>
      <xdr:rowOff>38100</xdr:rowOff>
    </xdr:to>
    <xdr:sp macro="" textlink="">
      <xdr:nvSpPr>
        <xdr:cNvPr id="128" name="Line 42"/>
        <xdr:cNvSpPr>
          <a:spLocks noChangeShapeType="1"/>
        </xdr:cNvSpPr>
      </xdr:nvSpPr>
      <xdr:spPr bwMode="auto">
        <a:xfrm>
          <a:off x="4581525" y="9505950"/>
          <a:ext cx="0" cy="12192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1114425</xdr:colOff>
      <xdr:row>322</xdr:row>
      <xdr:rowOff>57150</xdr:rowOff>
    </xdr:from>
    <xdr:to>
      <xdr:col>2</xdr:col>
      <xdr:colOff>276225</xdr:colOff>
      <xdr:row>323</xdr:row>
      <xdr:rowOff>152400</xdr:rowOff>
    </xdr:to>
    <xdr:sp macro="" textlink="">
      <xdr:nvSpPr>
        <xdr:cNvPr id="129" name="Text Box 43"/>
        <xdr:cNvSpPr txBox="1">
          <a:spLocks noChangeArrowheads="1"/>
        </xdr:cNvSpPr>
      </xdr:nvSpPr>
      <xdr:spPr bwMode="auto">
        <a:xfrm>
          <a:off x="1876425" y="10744200"/>
          <a:ext cx="98107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Ankathete</a:t>
          </a:r>
        </a:p>
      </xdr:txBody>
    </xdr:sp>
    <xdr:clientData/>
  </xdr:twoCellAnchor>
  <xdr:twoCellAnchor>
    <xdr:from>
      <xdr:col>1</xdr:col>
      <xdr:colOff>723900</xdr:colOff>
      <xdr:row>314</xdr:row>
      <xdr:rowOff>152400</xdr:rowOff>
    </xdr:from>
    <xdr:to>
      <xdr:col>1</xdr:col>
      <xdr:colOff>1704975</xdr:colOff>
      <xdr:row>316</xdr:row>
      <xdr:rowOff>85725</xdr:rowOff>
    </xdr:to>
    <xdr:sp macro="" textlink="">
      <xdr:nvSpPr>
        <xdr:cNvPr id="130" name="Text Box 44"/>
        <xdr:cNvSpPr txBox="1">
          <a:spLocks noChangeArrowheads="1"/>
        </xdr:cNvSpPr>
      </xdr:nvSpPr>
      <xdr:spPr bwMode="auto">
        <a:xfrm>
          <a:off x="1485900" y="9544050"/>
          <a:ext cx="98107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Hypothenuse</a:t>
          </a:r>
        </a:p>
      </xdr:txBody>
    </xdr:sp>
    <xdr:clientData/>
  </xdr:twoCellAnchor>
  <xdr:twoCellAnchor>
    <xdr:from>
      <xdr:col>4</xdr:col>
      <xdr:colOff>485775</xdr:colOff>
      <xdr:row>337</xdr:row>
      <xdr:rowOff>9525</xdr:rowOff>
    </xdr:from>
    <xdr:to>
      <xdr:col>7</xdr:col>
      <xdr:colOff>657225</xdr:colOff>
      <xdr:row>342</xdr:row>
      <xdr:rowOff>47625</xdr:rowOff>
    </xdr:to>
    <xdr:grpSp>
      <xdr:nvGrpSpPr>
        <xdr:cNvPr id="131" name="Group 178"/>
        <xdr:cNvGrpSpPr>
          <a:grpSpLocks/>
        </xdr:cNvGrpSpPr>
      </xdr:nvGrpSpPr>
      <xdr:grpSpPr bwMode="auto">
        <a:xfrm>
          <a:off x="5081588" y="56218931"/>
          <a:ext cx="3076575" cy="871538"/>
          <a:chOff x="403" y="1378"/>
          <a:chExt cx="258" cy="89"/>
        </a:xfrm>
      </xdr:grpSpPr>
      <xdr:sp macro="" textlink="">
        <xdr:nvSpPr>
          <xdr:cNvPr id="132" name="AutoShape 173"/>
          <xdr:cNvSpPr>
            <a:spLocks noChangeArrowheads="1"/>
          </xdr:cNvSpPr>
        </xdr:nvSpPr>
        <xdr:spPr bwMode="auto">
          <a:xfrm flipH="1">
            <a:off x="403" y="1378"/>
            <a:ext cx="197" cy="89"/>
          </a:xfrm>
          <a:prstGeom prst="rtTriangle">
            <a:avLst/>
          </a:prstGeom>
          <a:solidFill>
            <a:srgbClr val="FFFFFF"/>
          </a:solidFill>
          <a:ln w="9525">
            <a:solidFill>
              <a:srgbClr val="000000"/>
            </a:solidFill>
            <a:miter lim="800000"/>
            <a:headEnd/>
            <a:tailEnd/>
          </a:ln>
        </xdr:spPr>
      </xdr:sp>
      <xdr:sp macro="" textlink="">
        <xdr:nvSpPr>
          <xdr:cNvPr id="133" name="Text Box 174"/>
          <xdr:cNvSpPr txBox="1">
            <a:spLocks noChangeArrowheads="1"/>
          </xdr:cNvSpPr>
        </xdr:nvSpPr>
        <xdr:spPr bwMode="auto">
          <a:xfrm>
            <a:off x="482" y="1398"/>
            <a:ext cx="57" cy="2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900 m</a:t>
            </a:r>
          </a:p>
        </xdr:txBody>
      </xdr:sp>
      <xdr:sp macro="" textlink="">
        <xdr:nvSpPr>
          <xdr:cNvPr id="134" name="Text Box 175"/>
          <xdr:cNvSpPr txBox="1">
            <a:spLocks noChangeArrowheads="1"/>
          </xdr:cNvSpPr>
        </xdr:nvSpPr>
        <xdr:spPr bwMode="auto">
          <a:xfrm>
            <a:off x="604" y="1411"/>
            <a:ext cx="57" cy="2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75 m</a:t>
            </a:r>
          </a:p>
        </xdr:txBody>
      </xdr:sp>
    </xdr:grpSp>
    <xdr:clientData/>
  </xdr:twoCellAnchor>
  <xdr:twoCellAnchor>
    <xdr:from>
      <xdr:col>5</xdr:col>
      <xdr:colOff>142875</xdr:colOff>
      <xdr:row>341</xdr:row>
      <xdr:rowOff>19050</xdr:rowOff>
    </xdr:from>
    <xdr:to>
      <xdr:col>5</xdr:col>
      <xdr:colOff>238125</xdr:colOff>
      <xdr:row>342</xdr:row>
      <xdr:rowOff>57150</xdr:rowOff>
    </xdr:to>
    <xdr:sp macro="" textlink="">
      <xdr:nvSpPr>
        <xdr:cNvPr id="135" name="Arc 176"/>
        <xdr:cNvSpPr>
          <a:spLocks/>
        </xdr:cNvSpPr>
      </xdr:nvSpPr>
      <xdr:spPr bwMode="auto">
        <a:xfrm>
          <a:off x="5514975" y="13782675"/>
          <a:ext cx="95250" cy="2000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400050</xdr:colOff>
      <xdr:row>379</xdr:row>
      <xdr:rowOff>19050</xdr:rowOff>
    </xdr:from>
    <xdr:to>
      <xdr:col>9</xdr:col>
      <xdr:colOff>133350</xdr:colOff>
      <xdr:row>392</xdr:row>
      <xdr:rowOff>104775</xdr:rowOff>
    </xdr:to>
    <xdr:grpSp>
      <xdr:nvGrpSpPr>
        <xdr:cNvPr id="136" name="Group 192"/>
        <xdr:cNvGrpSpPr>
          <a:grpSpLocks/>
        </xdr:cNvGrpSpPr>
      </xdr:nvGrpSpPr>
      <xdr:grpSpPr bwMode="auto">
        <a:xfrm>
          <a:off x="5900738" y="63229331"/>
          <a:ext cx="3317081" cy="2252663"/>
          <a:chOff x="426" y="2074"/>
          <a:chExt cx="292" cy="230"/>
        </a:xfrm>
      </xdr:grpSpPr>
      <xdr:grpSp>
        <xdr:nvGrpSpPr>
          <xdr:cNvPr id="137" name="Group 183"/>
          <xdr:cNvGrpSpPr>
            <a:grpSpLocks/>
          </xdr:cNvGrpSpPr>
        </xdr:nvGrpSpPr>
        <xdr:grpSpPr bwMode="auto">
          <a:xfrm>
            <a:off x="426" y="2074"/>
            <a:ext cx="292" cy="229"/>
            <a:chOff x="426" y="2073"/>
            <a:chExt cx="164" cy="143"/>
          </a:xfrm>
        </xdr:grpSpPr>
        <xdr:sp macro="" textlink="">
          <xdr:nvSpPr>
            <xdr:cNvPr id="144" name="Rectangle 179"/>
            <xdr:cNvSpPr>
              <a:spLocks noChangeArrowheads="1"/>
            </xdr:cNvSpPr>
          </xdr:nvSpPr>
          <xdr:spPr bwMode="auto">
            <a:xfrm>
              <a:off x="453" y="2121"/>
              <a:ext cx="110" cy="95"/>
            </a:xfrm>
            <a:prstGeom prst="rect">
              <a:avLst/>
            </a:prstGeom>
            <a:solidFill>
              <a:srgbClr val="FFFFFF"/>
            </a:solidFill>
            <a:ln w="9525">
              <a:solidFill>
                <a:srgbClr val="000000"/>
              </a:solidFill>
              <a:miter lim="800000"/>
              <a:headEnd/>
              <a:tailEnd/>
            </a:ln>
          </xdr:spPr>
        </xdr:sp>
        <xdr:sp macro="" textlink="">
          <xdr:nvSpPr>
            <xdr:cNvPr id="145" name="AutoShape 180"/>
            <xdr:cNvSpPr>
              <a:spLocks noChangeArrowheads="1"/>
            </xdr:cNvSpPr>
          </xdr:nvSpPr>
          <xdr:spPr bwMode="auto">
            <a:xfrm>
              <a:off x="453" y="2073"/>
              <a:ext cx="109" cy="48"/>
            </a:xfrm>
            <a:prstGeom prst="flowChartExtract">
              <a:avLst/>
            </a:prstGeom>
            <a:solidFill>
              <a:srgbClr val="FFFFFF"/>
            </a:solidFill>
            <a:ln w="9525">
              <a:solidFill>
                <a:srgbClr val="000000"/>
              </a:solidFill>
              <a:miter lim="800000"/>
              <a:headEnd/>
              <a:tailEnd/>
            </a:ln>
          </xdr:spPr>
        </xdr:sp>
        <xdr:sp macro="" textlink="">
          <xdr:nvSpPr>
            <xdr:cNvPr id="146" name="AutoShape 181"/>
            <xdr:cNvSpPr>
              <a:spLocks noChangeArrowheads="1"/>
            </xdr:cNvSpPr>
          </xdr:nvSpPr>
          <xdr:spPr bwMode="auto">
            <a:xfrm rot="10800000">
              <a:off x="564" y="2108"/>
              <a:ext cx="26" cy="2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8000 h 21600"/>
              </a:gdLst>
              <a:ahLst/>
              <a:cxnLst>
                <a:cxn ang="T8">
                  <a:pos x="T0" y="T1"/>
                </a:cxn>
                <a:cxn ang="T9">
                  <a:pos x="T2" y="T3"/>
                </a:cxn>
                <a:cxn ang="T10">
                  <a:pos x="T4" y="T5"/>
                </a:cxn>
                <a:cxn ang="T11">
                  <a:pos x="T6" y="T7"/>
                </a:cxn>
              </a:cxnLst>
              <a:rect l="T12" t="T13" r="T14" b="T15"/>
              <a:pathLst>
                <a:path w="21600" h="21600">
                  <a:moveTo>
                    <a:pt x="5400" y="10800"/>
                  </a:moveTo>
                  <a:cubicBezTo>
                    <a:pt x="5400" y="7817"/>
                    <a:pt x="7817" y="5400"/>
                    <a:pt x="10800" y="5400"/>
                  </a:cubicBezTo>
                  <a:cubicBezTo>
                    <a:pt x="13782" y="5399"/>
                    <a:pt x="16199" y="7817"/>
                    <a:pt x="16200" y="10799"/>
                  </a:cubicBezTo>
                  <a:lnTo>
                    <a:pt x="21600" y="10800"/>
                  </a:lnTo>
                  <a:cubicBezTo>
                    <a:pt x="21600" y="4835"/>
                    <a:pt x="16764" y="0"/>
                    <a:pt x="10800" y="0"/>
                  </a:cubicBezTo>
                  <a:cubicBezTo>
                    <a:pt x="4835" y="0"/>
                    <a:pt x="0" y="4835"/>
                    <a:pt x="0" y="10800"/>
                  </a:cubicBezTo>
                  <a:lnTo>
                    <a:pt x="5400" y="10800"/>
                  </a:lnTo>
                  <a:close/>
                </a:path>
              </a:pathLst>
            </a:custGeom>
            <a:solidFill>
              <a:srgbClr val="FFFFFF"/>
            </a:solidFill>
            <a:ln w="9525">
              <a:solidFill>
                <a:srgbClr val="000000"/>
              </a:solidFill>
              <a:miter lim="800000"/>
              <a:headEnd/>
              <a:tailEnd/>
            </a:ln>
          </xdr:spPr>
        </xdr:sp>
        <xdr:sp macro="" textlink="">
          <xdr:nvSpPr>
            <xdr:cNvPr id="147" name="AutoShape 182"/>
            <xdr:cNvSpPr>
              <a:spLocks noChangeArrowheads="1"/>
            </xdr:cNvSpPr>
          </xdr:nvSpPr>
          <xdr:spPr bwMode="auto">
            <a:xfrm rot="10800000">
              <a:off x="426" y="2108"/>
              <a:ext cx="26" cy="2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8000 h 21600"/>
              </a:gdLst>
              <a:ahLst/>
              <a:cxnLst>
                <a:cxn ang="T8">
                  <a:pos x="T0" y="T1"/>
                </a:cxn>
                <a:cxn ang="T9">
                  <a:pos x="T2" y="T3"/>
                </a:cxn>
                <a:cxn ang="T10">
                  <a:pos x="T4" y="T5"/>
                </a:cxn>
                <a:cxn ang="T11">
                  <a:pos x="T6" y="T7"/>
                </a:cxn>
              </a:cxnLst>
              <a:rect l="T12" t="T13" r="T14" b="T15"/>
              <a:pathLst>
                <a:path w="21600" h="21600">
                  <a:moveTo>
                    <a:pt x="5400" y="10800"/>
                  </a:moveTo>
                  <a:cubicBezTo>
                    <a:pt x="5400" y="7817"/>
                    <a:pt x="7817" y="5400"/>
                    <a:pt x="10800" y="5400"/>
                  </a:cubicBezTo>
                  <a:cubicBezTo>
                    <a:pt x="13782" y="5399"/>
                    <a:pt x="16199" y="7817"/>
                    <a:pt x="16200" y="10799"/>
                  </a:cubicBezTo>
                  <a:lnTo>
                    <a:pt x="21600" y="10800"/>
                  </a:lnTo>
                  <a:cubicBezTo>
                    <a:pt x="21600" y="4835"/>
                    <a:pt x="16764" y="0"/>
                    <a:pt x="10800" y="0"/>
                  </a:cubicBezTo>
                  <a:cubicBezTo>
                    <a:pt x="4835" y="0"/>
                    <a:pt x="0" y="4835"/>
                    <a:pt x="0" y="10800"/>
                  </a:cubicBezTo>
                  <a:lnTo>
                    <a:pt x="5400" y="10800"/>
                  </a:lnTo>
                  <a:close/>
                </a:path>
              </a:pathLst>
            </a:custGeom>
            <a:solidFill>
              <a:srgbClr val="FFFFFF"/>
            </a:solidFill>
            <a:ln w="9525">
              <a:solidFill>
                <a:srgbClr val="000000"/>
              </a:solidFill>
              <a:miter lim="800000"/>
              <a:headEnd/>
              <a:tailEnd/>
            </a:ln>
          </xdr:spPr>
        </xdr:sp>
      </xdr:grpSp>
      <xdr:sp macro="" textlink="">
        <xdr:nvSpPr>
          <xdr:cNvPr id="138" name="Line 185"/>
          <xdr:cNvSpPr>
            <a:spLocks noChangeShapeType="1"/>
          </xdr:cNvSpPr>
        </xdr:nvSpPr>
        <xdr:spPr bwMode="auto">
          <a:xfrm>
            <a:off x="572" y="2074"/>
            <a:ext cx="0" cy="230"/>
          </a:xfrm>
          <a:prstGeom prst="line">
            <a:avLst/>
          </a:prstGeom>
          <a:noFill/>
          <a:ln w="2857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39" name="Line 186"/>
          <xdr:cNvSpPr>
            <a:spLocks noChangeShapeType="1"/>
          </xdr:cNvSpPr>
        </xdr:nvSpPr>
        <xdr:spPr bwMode="auto">
          <a:xfrm flipH="1">
            <a:off x="476" y="2074"/>
            <a:ext cx="95" cy="76"/>
          </a:xfrm>
          <a:prstGeom prst="line">
            <a:avLst/>
          </a:prstGeom>
          <a:noFill/>
          <a:ln w="2857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40" name="Text Box 187"/>
          <xdr:cNvSpPr txBox="1">
            <a:spLocks noChangeArrowheads="1"/>
          </xdr:cNvSpPr>
        </xdr:nvSpPr>
        <xdr:spPr bwMode="auto">
          <a:xfrm>
            <a:off x="573" y="2270"/>
            <a:ext cx="65" cy="26"/>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9 m</a:t>
            </a:r>
          </a:p>
        </xdr:txBody>
      </xdr:sp>
      <xdr:sp macro="" textlink="">
        <xdr:nvSpPr>
          <xdr:cNvPr id="141" name="Text Box 188"/>
          <xdr:cNvSpPr txBox="1">
            <a:spLocks noChangeArrowheads="1"/>
          </xdr:cNvSpPr>
        </xdr:nvSpPr>
        <xdr:spPr bwMode="auto">
          <a:xfrm>
            <a:off x="498" y="2096"/>
            <a:ext cx="65" cy="26"/>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7 m</a:t>
            </a:r>
          </a:p>
        </xdr:txBody>
      </xdr:sp>
      <xdr:sp macro="" textlink="">
        <xdr:nvSpPr>
          <xdr:cNvPr id="142" name="Text Box 189"/>
          <xdr:cNvSpPr txBox="1">
            <a:spLocks noChangeArrowheads="1"/>
          </xdr:cNvSpPr>
        </xdr:nvSpPr>
        <xdr:spPr bwMode="auto">
          <a:xfrm>
            <a:off x="496" y="2132"/>
            <a:ext cx="33" cy="2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35°</a:t>
            </a:r>
          </a:p>
        </xdr:txBody>
      </xdr:sp>
      <xdr:sp macro="" textlink="">
        <xdr:nvSpPr>
          <xdr:cNvPr id="143" name="AutoShape 191"/>
          <xdr:cNvSpPr>
            <a:spLocks noChangeArrowheads="1"/>
          </xdr:cNvSpPr>
        </xdr:nvSpPr>
        <xdr:spPr bwMode="auto">
          <a:xfrm flipH="1">
            <a:off x="474" y="2076"/>
            <a:ext cx="97" cy="74"/>
          </a:xfrm>
          <a:prstGeom prst="rtTriangle">
            <a:avLst/>
          </a:prstGeom>
          <a:solidFill>
            <a:srgbClr val="FF00FF">
              <a:alpha val="29019"/>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47625</xdr:colOff>
      <xdr:row>412</xdr:row>
      <xdr:rowOff>66675</xdr:rowOff>
    </xdr:from>
    <xdr:to>
      <xdr:col>7</xdr:col>
      <xdr:colOff>123825</xdr:colOff>
      <xdr:row>426</xdr:row>
      <xdr:rowOff>76200</xdr:rowOff>
    </xdr:to>
    <xdr:grpSp>
      <xdr:nvGrpSpPr>
        <xdr:cNvPr id="148" name="Group 211"/>
        <xdr:cNvGrpSpPr>
          <a:grpSpLocks/>
        </xdr:cNvGrpSpPr>
      </xdr:nvGrpSpPr>
      <xdr:grpSpPr bwMode="auto">
        <a:xfrm>
          <a:off x="4643438" y="68777644"/>
          <a:ext cx="2981325" cy="2343150"/>
          <a:chOff x="182" y="2625"/>
          <a:chExt cx="248" cy="239"/>
        </a:xfrm>
      </xdr:grpSpPr>
      <xdr:sp macro="" textlink="">
        <xdr:nvSpPr>
          <xdr:cNvPr id="149" name="Rectangle 199"/>
          <xdr:cNvSpPr>
            <a:spLocks noChangeArrowheads="1"/>
          </xdr:cNvSpPr>
        </xdr:nvSpPr>
        <xdr:spPr bwMode="auto">
          <a:xfrm>
            <a:off x="182" y="2649"/>
            <a:ext cx="34" cy="24"/>
          </a:xfrm>
          <a:prstGeom prst="rect">
            <a:avLst/>
          </a:prstGeom>
          <a:solidFill>
            <a:srgbClr val="FFFFFF"/>
          </a:solidFill>
          <a:ln w="9525">
            <a:solidFill>
              <a:srgbClr val="000000"/>
            </a:solidFill>
            <a:miter lim="800000"/>
            <a:headEnd/>
            <a:tailEnd/>
          </a:ln>
        </xdr:spPr>
      </xdr:sp>
      <xdr:sp macro="" textlink="">
        <xdr:nvSpPr>
          <xdr:cNvPr id="150" name="Rectangle 200"/>
          <xdr:cNvSpPr>
            <a:spLocks noChangeArrowheads="1"/>
          </xdr:cNvSpPr>
        </xdr:nvSpPr>
        <xdr:spPr bwMode="auto">
          <a:xfrm>
            <a:off x="382" y="2650"/>
            <a:ext cx="34" cy="24"/>
          </a:xfrm>
          <a:prstGeom prst="rect">
            <a:avLst/>
          </a:prstGeom>
          <a:solidFill>
            <a:srgbClr val="FFFFFF"/>
          </a:solidFill>
          <a:ln w="9525">
            <a:solidFill>
              <a:srgbClr val="000000"/>
            </a:solidFill>
            <a:miter lim="800000"/>
            <a:headEnd/>
            <a:tailEnd/>
          </a:ln>
        </xdr:spPr>
      </xdr:sp>
      <xdr:sp macro="" textlink="">
        <xdr:nvSpPr>
          <xdr:cNvPr id="151" name="Line 201"/>
          <xdr:cNvSpPr>
            <a:spLocks noChangeShapeType="1"/>
          </xdr:cNvSpPr>
        </xdr:nvSpPr>
        <xdr:spPr bwMode="auto">
          <a:xfrm>
            <a:off x="199" y="2641"/>
            <a:ext cx="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Text Box 202"/>
          <xdr:cNvSpPr txBox="1">
            <a:spLocks noChangeArrowheads="1"/>
          </xdr:cNvSpPr>
        </xdr:nvSpPr>
        <xdr:spPr bwMode="auto">
          <a:xfrm>
            <a:off x="286" y="2625"/>
            <a:ext cx="57"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7 m</a:t>
            </a:r>
          </a:p>
        </xdr:txBody>
      </xdr:sp>
      <xdr:grpSp>
        <xdr:nvGrpSpPr>
          <xdr:cNvPr id="153" name="Group 205"/>
          <xdr:cNvGrpSpPr>
            <a:grpSpLocks/>
          </xdr:cNvGrpSpPr>
        </xdr:nvGrpSpPr>
        <xdr:grpSpPr bwMode="auto">
          <a:xfrm rot="-2013538">
            <a:off x="282" y="2835"/>
            <a:ext cx="46" cy="29"/>
            <a:chOff x="290" y="2792"/>
            <a:chExt cx="46" cy="29"/>
          </a:xfrm>
        </xdr:grpSpPr>
        <xdr:sp macro="" textlink="">
          <xdr:nvSpPr>
            <xdr:cNvPr id="158" name="Rectangle 203"/>
            <xdr:cNvSpPr>
              <a:spLocks noChangeArrowheads="1"/>
            </xdr:cNvSpPr>
          </xdr:nvSpPr>
          <xdr:spPr bwMode="auto">
            <a:xfrm>
              <a:off x="290" y="2806"/>
              <a:ext cx="46" cy="15"/>
            </a:xfrm>
            <a:prstGeom prst="rect">
              <a:avLst/>
            </a:prstGeom>
            <a:solidFill>
              <a:srgbClr val="FFFFFF"/>
            </a:solidFill>
            <a:ln w="9525">
              <a:solidFill>
                <a:srgbClr val="000000"/>
              </a:solidFill>
              <a:miter lim="800000"/>
              <a:headEnd/>
              <a:tailEnd/>
            </a:ln>
          </xdr:spPr>
        </xdr:sp>
        <xdr:sp macro="" textlink="">
          <xdr:nvSpPr>
            <xdr:cNvPr id="159" name="Rectangle 204"/>
            <xdr:cNvSpPr>
              <a:spLocks noChangeArrowheads="1"/>
            </xdr:cNvSpPr>
          </xdr:nvSpPr>
          <xdr:spPr bwMode="auto">
            <a:xfrm>
              <a:off x="307" y="2792"/>
              <a:ext cx="14" cy="14"/>
            </a:xfrm>
            <a:prstGeom prst="rect">
              <a:avLst/>
            </a:prstGeom>
            <a:solidFill>
              <a:srgbClr val="FFFFFF"/>
            </a:solidFill>
            <a:ln w="9525">
              <a:solidFill>
                <a:srgbClr val="000000"/>
              </a:solidFill>
              <a:miter lim="800000"/>
              <a:headEnd/>
              <a:tailEnd/>
            </a:ln>
          </xdr:spPr>
        </xdr:sp>
      </xdr:grpSp>
      <xdr:sp macro="" textlink="">
        <xdr:nvSpPr>
          <xdr:cNvPr id="154" name="Line 206"/>
          <xdr:cNvSpPr>
            <a:spLocks noChangeShapeType="1"/>
          </xdr:cNvSpPr>
        </xdr:nvSpPr>
        <xdr:spPr bwMode="auto">
          <a:xfrm>
            <a:off x="199" y="2673"/>
            <a:ext cx="108" cy="17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207"/>
          <xdr:cNvSpPr>
            <a:spLocks noChangeShapeType="1"/>
          </xdr:cNvSpPr>
        </xdr:nvSpPr>
        <xdr:spPr bwMode="auto">
          <a:xfrm flipH="1">
            <a:off x="306" y="2675"/>
            <a:ext cx="96" cy="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Text Box 208"/>
          <xdr:cNvSpPr txBox="1">
            <a:spLocks noChangeArrowheads="1"/>
          </xdr:cNvSpPr>
        </xdr:nvSpPr>
        <xdr:spPr bwMode="auto">
          <a:xfrm>
            <a:off x="373" y="2739"/>
            <a:ext cx="57"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12 m</a:t>
            </a:r>
          </a:p>
        </xdr:txBody>
      </xdr:sp>
      <xdr:sp macro="" textlink="">
        <xdr:nvSpPr>
          <xdr:cNvPr id="157" name="Text Box 209"/>
          <xdr:cNvSpPr txBox="1">
            <a:spLocks noChangeArrowheads="1"/>
          </xdr:cNvSpPr>
        </xdr:nvSpPr>
        <xdr:spPr bwMode="auto">
          <a:xfrm>
            <a:off x="202" y="2736"/>
            <a:ext cx="57"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12 m</a:t>
            </a:r>
          </a:p>
        </xdr:txBody>
      </xdr:sp>
    </xdr:grpSp>
    <xdr:clientData/>
  </xdr:twoCellAnchor>
  <xdr:twoCellAnchor>
    <xdr:from>
      <xdr:col>4</xdr:col>
      <xdr:colOff>190500</xdr:colOff>
      <xdr:row>414</xdr:row>
      <xdr:rowOff>85724</xdr:rowOff>
    </xdr:from>
    <xdr:to>
      <xdr:col>5</xdr:col>
      <xdr:colOff>552450</xdr:colOff>
      <xdr:row>424</xdr:row>
      <xdr:rowOff>152399</xdr:rowOff>
    </xdr:to>
    <xdr:sp macro="" textlink="">
      <xdr:nvSpPr>
        <xdr:cNvPr id="160" name="AutoShape 213"/>
        <xdr:cNvSpPr>
          <a:spLocks noChangeArrowheads="1"/>
        </xdr:cNvSpPr>
      </xdr:nvSpPr>
      <xdr:spPr bwMode="auto">
        <a:xfrm rot="10800000">
          <a:off x="4191000" y="66884549"/>
          <a:ext cx="1266825" cy="1685925"/>
        </a:xfrm>
        <a:prstGeom prst="rtTriangle">
          <a:avLst/>
        </a:prstGeom>
        <a:solidFill>
          <a:srgbClr val="FF99CC">
            <a:alpha val="58038"/>
          </a:srgbClr>
        </a:solidFill>
        <a:ln w="9525">
          <a:solidFill>
            <a:srgbClr val="FF99CC"/>
          </a:solidFill>
          <a:miter lim="800000"/>
          <a:headEnd/>
          <a:tailEnd/>
        </a:ln>
      </xdr:spPr>
    </xdr:sp>
    <xdr:clientData/>
  </xdr:twoCellAnchor>
  <xdr:twoCellAnchor>
    <xdr:from>
      <xdr:col>1</xdr:col>
      <xdr:colOff>9525</xdr:colOff>
      <xdr:row>434</xdr:row>
      <xdr:rowOff>28575</xdr:rowOff>
    </xdr:from>
    <xdr:to>
      <xdr:col>3</xdr:col>
      <xdr:colOff>19050</xdr:colOff>
      <xdr:row>438</xdr:row>
      <xdr:rowOff>95250</xdr:rowOff>
    </xdr:to>
    <xdr:grpSp>
      <xdr:nvGrpSpPr>
        <xdr:cNvPr id="161" name="Group 221"/>
        <xdr:cNvGrpSpPr>
          <a:grpSpLocks/>
        </xdr:cNvGrpSpPr>
      </xdr:nvGrpSpPr>
      <xdr:grpSpPr bwMode="auto">
        <a:xfrm>
          <a:off x="700088" y="72406669"/>
          <a:ext cx="3224212" cy="733425"/>
          <a:chOff x="81" y="2995"/>
          <a:chExt cx="253" cy="75"/>
        </a:xfrm>
      </xdr:grpSpPr>
      <xdr:grpSp>
        <xdr:nvGrpSpPr>
          <xdr:cNvPr id="162" name="Group 218"/>
          <xdr:cNvGrpSpPr>
            <a:grpSpLocks/>
          </xdr:cNvGrpSpPr>
        </xdr:nvGrpSpPr>
        <xdr:grpSpPr bwMode="auto">
          <a:xfrm>
            <a:off x="81" y="2995"/>
            <a:ext cx="253" cy="75"/>
            <a:chOff x="88" y="2995"/>
            <a:chExt cx="253" cy="75"/>
          </a:xfrm>
        </xdr:grpSpPr>
        <xdr:sp macro="" textlink="">
          <xdr:nvSpPr>
            <xdr:cNvPr id="165" name="Rectangle 214"/>
            <xdr:cNvSpPr>
              <a:spLocks noChangeArrowheads="1"/>
            </xdr:cNvSpPr>
          </xdr:nvSpPr>
          <xdr:spPr bwMode="auto">
            <a:xfrm>
              <a:off x="88" y="2995"/>
              <a:ext cx="103" cy="74"/>
            </a:xfrm>
            <a:prstGeom prst="rect">
              <a:avLst/>
            </a:prstGeom>
            <a:solidFill>
              <a:srgbClr val="FFFFFF"/>
            </a:solidFill>
            <a:ln w="9525">
              <a:solidFill>
                <a:srgbClr val="000000"/>
              </a:solidFill>
              <a:miter lim="800000"/>
              <a:headEnd/>
              <a:tailEnd/>
            </a:ln>
          </xdr:spPr>
        </xdr:sp>
        <xdr:sp macro="" textlink="">
          <xdr:nvSpPr>
            <xdr:cNvPr id="166" name="Rectangle 215"/>
            <xdr:cNvSpPr>
              <a:spLocks noChangeArrowheads="1"/>
            </xdr:cNvSpPr>
          </xdr:nvSpPr>
          <xdr:spPr bwMode="auto">
            <a:xfrm>
              <a:off x="206" y="2996"/>
              <a:ext cx="134" cy="74"/>
            </a:xfrm>
            <a:prstGeom prst="rect">
              <a:avLst/>
            </a:prstGeom>
            <a:solidFill>
              <a:srgbClr val="FFFFFF"/>
            </a:solidFill>
            <a:ln w="9525">
              <a:solidFill>
                <a:srgbClr val="000000"/>
              </a:solidFill>
              <a:miter lim="800000"/>
              <a:headEnd/>
              <a:tailEnd/>
            </a:ln>
          </xdr:spPr>
        </xdr:sp>
        <xdr:sp macro="" textlink="">
          <xdr:nvSpPr>
            <xdr:cNvPr id="167" name="Line 216"/>
            <xdr:cNvSpPr>
              <a:spLocks noChangeShapeType="1"/>
            </xdr:cNvSpPr>
          </xdr:nvSpPr>
          <xdr:spPr bwMode="auto">
            <a:xfrm flipV="1">
              <a:off x="89" y="2995"/>
              <a:ext cx="101" cy="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8" name="Line 217"/>
            <xdr:cNvSpPr>
              <a:spLocks noChangeShapeType="1"/>
            </xdr:cNvSpPr>
          </xdr:nvSpPr>
          <xdr:spPr bwMode="auto">
            <a:xfrm flipV="1">
              <a:off x="206" y="2997"/>
              <a:ext cx="135" cy="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63" name="AutoShape 219"/>
          <xdr:cNvSpPr>
            <a:spLocks noChangeArrowheads="1"/>
          </xdr:cNvSpPr>
        </xdr:nvSpPr>
        <xdr:spPr bwMode="auto">
          <a:xfrm flipH="1">
            <a:off x="201" y="2998"/>
            <a:ext cx="132" cy="71"/>
          </a:xfrm>
          <a:prstGeom prst="rtTriangle">
            <a:avLst/>
          </a:prstGeom>
          <a:solidFill>
            <a:srgbClr val="FF99CC">
              <a:alpha val="3294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4" name="AutoShape 220"/>
          <xdr:cNvSpPr>
            <a:spLocks noChangeArrowheads="1"/>
          </xdr:cNvSpPr>
        </xdr:nvSpPr>
        <xdr:spPr bwMode="auto">
          <a:xfrm flipH="1">
            <a:off x="81" y="2996"/>
            <a:ext cx="103" cy="73"/>
          </a:xfrm>
          <a:prstGeom prst="rtTriangle">
            <a:avLst/>
          </a:prstGeom>
          <a:solidFill>
            <a:srgbClr val="FF99CC">
              <a:alpha val="3294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6</xdr:col>
      <xdr:colOff>104775</xdr:colOff>
      <xdr:row>467</xdr:row>
      <xdr:rowOff>123825</xdr:rowOff>
    </xdr:from>
    <xdr:to>
      <xdr:col>9</xdr:col>
      <xdr:colOff>200025</xdr:colOff>
      <xdr:row>482</xdr:row>
      <xdr:rowOff>57150</xdr:rowOff>
    </xdr:to>
    <xdr:grpSp>
      <xdr:nvGrpSpPr>
        <xdr:cNvPr id="169" name="Group 232"/>
        <xdr:cNvGrpSpPr>
          <a:grpSpLocks/>
        </xdr:cNvGrpSpPr>
      </xdr:nvGrpSpPr>
      <xdr:grpSpPr bwMode="auto">
        <a:xfrm>
          <a:off x="6629400" y="78002606"/>
          <a:ext cx="2655094" cy="2433638"/>
          <a:chOff x="132" y="3589"/>
          <a:chExt cx="250" cy="248"/>
        </a:xfrm>
      </xdr:grpSpPr>
      <xdr:sp macro="" textlink="">
        <xdr:nvSpPr>
          <xdr:cNvPr id="170" name="Rectangle 222"/>
          <xdr:cNvSpPr>
            <a:spLocks noChangeArrowheads="1"/>
          </xdr:cNvSpPr>
        </xdr:nvSpPr>
        <xdr:spPr bwMode="auto">
          <a:xfrm>
            <a:off x="189" y="3589"/>
            <a:ext cx="39" cy="39"/>
          </a:xfrm>
          <a:prstGeom prst="rect">
            <a:avLst/>
          </a:prstGeom>
          <a:solidFill>
            <a:srgbClr val="0000FF"/>
          </a:solidFill>
          <a:ln w="9525">
            <a:solidFill>
              <a:srgbClr val="000000"/>
            </a:solidFill>
            <a:miter lim="800000"/>
            <a:headEnd/>
            <a:tailEnd/>
          </a:ln>
        </xdr:spPr>
      </xdr:sp>
      <xdr:sp macro="" textlink="">
        <xdr:nvSpPr>
          <xdr:cNvPr id="171" name="Rectangle 223"/>
          <xdr:cNvSpPr>
            <a:spLocks noChangeArrowheads="1"/>
          </xdr:cNvSpPr>
        </xdr:nvSpPr>
        <xdr:spPr bwMode="auto">
          <a:xfrm>
            <a:off x="229" y="3589"/>
            <a:ext cx="39" cy="39"/>
          </a:xfrm>
          <a:prstGeom prst="rect">
            <a:avLst/>
          </a:prstGeom>
          <a:solidFill>
            <a:srgbClr val="FF0000"/>
          </a:solidFill>
          <a:ln w="9525">
            <a:solidFill>
              <a:srgbClr val="000000"/>
            </a:solidFill>
            <a:miter lim="800000"/>
            <a:headEnd/>
            <a:tailEnd/>
          </a:ln>
        </xdr:spPr>
      </xdr:sp>
      <xdr:sp macro="" textlink="">
        <xdr:nvSpPr>
          <xdr:cNvPr id="172" name="Line 224"/>
          <xdr:cNvSpPr>
            <a:spLocks noChangeShapeType="1"/>
          </xdr:cNvSpPr>
        </xdr:nvSpPr>
        <xdr:spPr bwMode="auto">
          <a:xfrm>
            <a:off x="210" y="3630"/>
            <a:ext cx="19" cy="1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Line 225"/>
          <xdr:cNvSpPr>
            <a:spLocks noChangeShapeType="1"/>
          </xdr:cNvSpPr>
        </xdr:nvSpPr>
        <xdr:spPr bwMode="auto">
          <a:xfrm flipH="1">
            <a:off x="230" y="3628"/>
            <a:ext cx="21" cy="17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Text Box 226"/>
          <xdr:cNvSpPr txBox="1">
            <a:spLocks noChangeArrowheads="1"/>
          </xdr:cNvSpPr>
        </xdr:nvSpPr>
        <xdr:spPr bwMode="auto">
          <a:xfrm>
            <a:off x="214" y="3808"/>
            <a:ext cx="59" cy="2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Auge</a:t>
            </a:r>
          </a:p>
        </xdr:txBody>
      </xdr:sp>
      <xdr:sp macro="" textlink="">
        <xdr:nvSpPr>
          <xdr:cNvPr id="175" name="Text Box 227"/>
          <xdr:cNvSpPr txBox="1">
            <a:spLocks noChangeArrowheads="1"/>
          </xdr:cNvSpPr>
        </xdr:nvSpPr>
        <xdr:spPr bwMode="auto">
          <a:xfrm>
            <a:off x="253" y="3721"/>
            <a:ext cx="129" cy="2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1 Winkelminute</a:t>
            </a:r>
          </a:p>
        </xdr:txBody>
      </xdr:sp>
      <xdr:sp macro="" textlink="">
        <xdr:nvSpPr>
          <xdr:cNvPr id="176" name="Line 228"/>
          <xdr:cNvSpPr>
            <a:spLocks noChangeShapeType="1"/>
          </xdr:cNvSpPr>
        </xdr:nvSpPr>
        <xdr:spPr bwMode="auto">
          <a:xfrm>
            <a:off x="162" y="3629"/>
            <a:ext cx="0" cy="183"/>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Text Box 229"/>
          <xdr:cNvSpPr txBox="1">
            <a:spLocks noChangeArrowheads="1"/>
          </xdr:cNvSpPr>
        </xdr:nvSpPr>
        <xdr:spPr bwMode="auto">
          <a:xfrm>
            <a:off x="132" y="3664"/>
            <a:ext cx="14" cy="104"/>
          </a:xfrm>
          <a:prstGeom prst="rect">
            <a:avLst/>
          </a:prstGeom>
          <a:noFill/>
          <a:ln w="9525">
            <a:noFill/>
            <a:miter lim="800000"/>
            <a:headEnd/>
            <a:tailEnd/>
          </a:ln>
        </xdr:spPr>
        <xdr:txBody>
          <a:bodyPr vert="vert270" wrap="none" lIns="18288" tIns="22860" rIns="0" bIns="0" anchor="t" upright="1">
            <a:spAutoFit/>
          </a:bodyPr>
          <a:lstStyle/>
          <a:p>
            <a:pPr algn="r" rtl="0">
              <a:defRPr sz="1000"/>
            </a:pPr>
            <a:r>
              <a:rPr lang="de-DE" sz="800" b="0" i="0" strike="noStrike">
                <a:solidFill>
                  <a:srgbClr val="000000"/>
                </a:solidFill>
                <a:latin typeface="Arial"/>
                <a:cs typeface="Arial"/>
              </a:rPr>
              <a:t>Betrachtungsabstand</a:t>
            </a:r>
          </a:p>
        </xdr:txBody>
      </xdr:sp>
      <xdr:sp macro="" textlink="">
        <xdr:nvSpPr>
          <xdr:cNvPr id="178" name="AutoShape 231"/>
          <xdr:cNvSpPr>
            <a:spLocks noChangeArrowheads="1"/>
          </xdr:cNvSpPr>
        </xdr:nvSpPr>
        <xdr:spPr bwMode="auto">
          <a:xfrm flipV="1">
            <a:off x="230" y="3629"/>
            <a:ext cx="20" cy="177"/>
          </a:xfrm>
          <a:prstGeom prst="rtTriangle">
            <a:avLst/>
          </a:prstGeom>
          <a:solidFill>
            <a:srgbClr val="FF99CC">
              <a:alpha val="32941"/>
            </a:srgbClr>
          </a:solidFill>
          <a:ln w="9525" algn="ctr">
            <a:solidFill>
              <a:srgbClr val="FF99CC"/>
            </a:solidFill>
            <a:miter lim="800000"/>
            <a:headEnd/>
            <a:tailEnd/>
          </a:ln>
        </xdr:spPr>
      </xdr:sp>
    </xdr:grpSp>
    <xdr:clientData/>
  </xdr:twoCellAnchor>
  <mc:AlternateContent xmlns:mc="http://schemas.openxmlformats.org/markup-compatibility/2006">
    <mc:Choice xmlns:a14="http://schemas.microsoft.com/office/drawing/2010/main" Requires="a14">
      <xdr:twoCellAnchor editAs="oneCell">
        <xdr:from>
          <xdr:col>9</xdr:col>
          <xdr:colOff>0</xdr:colOff>
          <xdr:row>392</xdr:row>
          <xdr:rowOff>9525</xdr:rowOff>
        </xdr:from>
        <xdr:to>
          <xdr:col>12</xdr:col>
          <xdr:colOff>542925</xdr:colOff>
          <xdr:row>405</xdr:row>
          <xdr:rowOff>133350</xdr:rowOff>
        </xdr:to>
        <xdr:sp macro="" textlink="">
          <xdr:nvSpPr>
            <xdr:cNvPr id="23553" name="Object 1" hidden="1">
              <a:extLst>
                <a:ext uri="{63B3BB69-23CF-44E3-9099-C40C66FF867C}">
                  <a14:compatExt spid="_x0000_s23553"/>
                </a:ext>
              </a:extLst>
            </xdr:cNvPr>
            <xdr:cNvSpPr/>
          </xdr:nvSpPr>
          <xdr:spPr>
            <a:xfrm>
              <a:off x="0" y="0"/>
              <a:ext cx="0" cy="0"/>
            </a:xfrm>
            <a:prstGeom prst="rect">
              <a:avLst/>
            </a:prstGeom>
          </xdr:spPr>
        </xdr:sp>
        <xdr:clientData/>
      </xdr:twoCellAnchor>
    </mc:Choice>
    <mc:Fallback/>
  </mc:AlternateContent>
  <xdr:twoCellAnchor>
    <xdr:from>
      <xdr:col>3</xdr:col>
      <xdr:colOff>209550</xdr:colOff>
      <xdr:row>500</xdr:row>
      <xdr:rowOff>114300</xdr:rowOff>
    </xdr:from>
    <xdr:to>
      <xdr:col>5</xdr:col>
      <xdr:colOff>695325</xdr:colOff>
      <xdr:row>504</xdr:row>
      <xdr:rowOff>47625</xdr:rowOff>
    </xdr:to>
    <xdr:sp macro="" textlink="">
      <xdr:nvSpPr>
        <xdr:cNvPr id="184" name="AutoShape 5"/>
        <xdr:cNvSpPr>
          <a:spLocks noChangeArrowheads="1"/>
        </xdr:cNvSpPr>
      </xdr:nvSpPr>
      <xdr:spPr bwMode="auto">
        <a:xfrm>
          <a:off x="3286125" y="4486275"/>
          <a:ext cx="2009775" cy="581025"/>
        </a:xfrm>
        <a:prstGeom prst="rtTriangl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333375</xdr:colOff>
      <xdr:row>500</xdr:row>
      <xdr:rowOff>114300</xdr:rowOff>
    </xdr:from>
    <xdr:to>
      <xdr:col>3</xdr:col>
      <xdr:colOff>200025</xdr:colOff>
      <xdr:row>504</xdr:row>
      <xdr:rowOff>47625</xdr:rowOff>
    </xdr:to>
    <xdr:sp macro="" textlink="">
      <xdr:nvSpPr>
        <xdr:cNvPr id="185" name="AutoShape 6"/>
        <xdr:cNvSpPr>
          <a:spLocks noChangeArrowheads="1"/>
        </xdr:cNvSpPr>
      </xdr:nvSpPr>
      <xdr:spPr bwMode="auto">
        <a:xfrm flipH="1">
          <a:off x="1095375" y="4486275"/>
          <a:ext cx="2181225" cy="581025"/>
        </a:xfrm>
        <a:prstGeom prst="rtTriangl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1057275</xdr:colOff>
      <xdr:row>503</xdr:row>
      <xdr:rowOff>19050</xdr:rowOff>
    </xdr:from>
    <xdr:to>
      <xdr:col>1</xdr:col>
      <xdr:colOff>1343025</xdr:colOff>
      <xdr:row>504</xdr:row>
      <xdr:rowOff>85725</xdr:rowOff>
    </xdr:to>
    <xdr:sp macro="" textlink="">
      <xdr:nvSpPr>
        <xdr:cNvPr id="186" name="Text Box 7"/>
        <xdr:cNvSpPr txBox="1">
          <a:spLocks noChangeArrowheads="1"/>
        </xdr:cNvSpPr>
      </xdr:nvSpPr>
      <xdr:spPr bwMode="auto">
        <a:xfrm>
          <a:off x="1819275" y="4876800"/>
          <a:ext cx="2857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35°</a:t>
          </a:r>
          <a:endParaRPr lang="de-DE"/>
        </a:p>
      </xdr:txBody>
    </xdr:sp>
    <xdr:clientData/>
  </xdr:twoCellAnchor>
  <xdr:twoCellAnchor>
    <xdr:from>
      <xdr:col>3</xdr:col>
      <xdr:colOff>57150</xdr:colOff>
      <xdr:row>504</xdr:row>
      <xdr:rowOff>123825</xdr:rowOff>
    </xdr:from>
    <xdr:to>
      <xdr:col>3</xdr:col>
      <xdr:colOff>495300</xdr:colOff>
      <xdr:row>506</xdr:row>
      <xdr:rowOff>28575</xdr:rowOff>
    </xdr:to>
    <xdr:sp macro="" textlink="">
      <xdr:nvSpPr>
        <xdr:cNvPr id="187" name="Text Box 8"/>
        <xdr:cNvSpPr txBox="1">
          <a:spLocks noChangeArrowheads="1"/>
        </xdr:cNvSpPr>
      </xdr:nvSpPr>
      <xdr:spPr bwMode="auto">
        <a:xfrm>
          <a:off x="3133725" y="5143500"/>
          <a:ext cx="438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10 m</a:t>
          </a:r>
          <a:endParaRPr lang="de-DE"/>
        </a:p>
      </xdr:txBody>
    </xdr:sp>
    <xdr:clientData/>
  </xdr:twoCellAnchor>
  <xdr:twoCellAnchor>
    <xdr:from>
      <xdr:col>3</xdr:col>
      <xdr:colOff>257175</xdr:colOff>
      <xdr:row>523</xdr:row>
      <xdr:rowOff>76200</xdr:rowOff>
    </xdr:from>
    <xdr:to>
      <xdr:col>9</xdr:col>
      <xdr:colOff>591110</xdr:colOff>
      <xdr:row>530</xdr:row>
      <xdr:rowOff>125679</xdr:rowOff>
    </xdr:to>
    <xdr:grpSp>
      <xdr:nvGrpSpPr>
        <xdr:cNvPr id="188" name="Gruppieren 187"/>
        <xdr:cNvGrpSpPr/>
      </xdr:nvGrpSpPr>
      <xdr:grpSpPr>
        <a:xfrm>
          <a:off x="4162425" y="87289481"/>
          <a:ext cx="5513154" cy="2990323"/>
          <a:chOff x="7230380" y="29393029"/>
          <a:chExt cx="5506010" cy="3449904"/>
        </a:xfrm>
      </xdr:grpSpPr>
      <xdr:sp macro="" textlink="">
        <xdr:nvSpPr>
          <xdr:cNvPr id="189" name="Kreis 188"/>
          <xdr:cNvSpPr/>
        </xdr:nvSpPr>
        <xdr:spPr bwMode="auto">
          <a:xfrm>
            <a:off x="9383590" y="29498925"/>
            <a:ext cx="3352800" cy="3344008"/>
          </a:xfrm>
          <a:prstGeom prst="pie">
            <a:avLst>
              <a:gd name="adj1" fmla="val 10800000"/>
              <a:gd name="adj2" fmla="val 1620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grpSp>
        <xdr:nvGrpSpPr>
          <xdr:cNvPr id="190" name="Gruppieren 189"/>
          <xdr:cNvGrpSpPr/>
        </xdr:nvGrpSpPr>
        <xdr:grpSpPr>
          <a:xfrm>
            <a:off x="7230380" y="29393029"/>
            <a:ext cx="4565967" cy="3335044"/>
            <a:chOff x="7227794" y="29628353"/>
            <a:chExt cx="4565967" cy="3350559"/>
          </a:xfrm>
        </xdr:grpSpPr>
        <xdr:cxnSp macro="">
          <xdr:nvCxnSpPr>
            <xdr:cNvPr id="191" name="Gerade Verbindung 190"/>
            <xdr:cNvCxnSpPr/>
          </xdr:nvCxnSpPr>
          <xdr:spPr bwMode="auto">
            <a:xfrm flipH="1">
              <a:off x="7229087" y="31411769"/>
              <a:ext cx="214239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92" name="Rechteck 191"/>
            <xdr:cNvSpPr/>
          </xdr:nvSpPr>
          <xdr:spPr bwMode="auto">
            <a:xfrm rot="20045298">
              <a:off x="7421867" y="30571844"/>
              <a:ext cx="3437848" cy="1686920"/>
            </a:xfrm>
            <a:prstGeom prst="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193" name="Textfeld 192"/>
            <xdr:cNvSpPr txBox="1"/>
          </xdr:nvSpPr>
          <xdr:spPr>
            <a:xfrm>
              <a:off x="11083050" y="30326997"/>
              <a:ext cx="710711" cy="293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400 cm</a:t>
              </a:r>
            </a:p>
          </xdr:txBody>
        </xdr:sp>
        <xdr:sp macro="" textlink="">
          <xdr:nvSpPr>
            <xdr:cNvPr id="194" name="Textfeld 193"/>
            <xdr:cNvSpPr txBox="1"/>
          </xdr:nvSpPr>
          <xdr:spPr>
            <a:xfrm rot="1483211">
              <a:off x="9984014" y="31008400"/>
              <a:ext cx="1047746" cy="235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t>Ergänzungswinkel</a:t>
              </a:r>
            </a:p>
          </xdr:txBody>
        </xdr:sp>
        <xdr:sp macro="" textlink="">
          <xdr:nvSpPr>
            <xdr:cNvPr id="195" name="Textfeld 194"/>
            <xdr:cNvSpPr txBox="1"/>
          </xdr:nvSpPr>
          <xdr:spPr>
            <a:xfrm rot="4778020">
              <a:off x="10298428" y="30510815"/>
              <a:ext cx="1173596" cy="271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t>Neigungsungswinkel</a:t>
              </a:r>
            </a:p>
          </xdr:txBody>
        </xdr:sp>
        <xdr:grpSp>
          <xdr:nvGrpSpPr>
            <xdr:cNvPr id="196" name="Gruppieren 195"/>
            <xdr:cNvGrpSpPr/>
          </xdr:nvGrpSpPr>
          <xdr:grpSpPr>
            <a:xfrm>
              <a:off x="10992972" y="29628353"/>
              <a:ext cx="252132" cy="235755"/>
              <a:chOff x="8757397" y="29314588"/>
              <a:chExt cx="252132" cy="235755"/>
            </a:xfrm>
          </xdr:grpSpPr>
          <xdr:sp macro="" textlink="">
            <xdr:nvSpPr>
              <xdr:cNvPr id="203" name="Rechteck 202"/>
              <xdr:cNvSpPr/>
            </xdr:nvSpPr>
            <xdr:spPr bwMode="auto">
              <a:xfrm>
                <a:off x="8757397" y="29398632"/>
                <a:ext cx="59908" cy="61633"/>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204" name="Rechteck 203"/>
              <xdr:cNvSpPr/>
            </xdr:nvSpPr>
            <xdr:spPr bwMode="auto">
              <a:xfrm>
                <a:off x="8819029" y="29314588"/>
                <a:ext cx="190500" cy="235755"/>
              </a:xfrm>
              <a:prstGeom prst="rect">
                <a:avLst/>
              </a:prstGeom>
              <a:solidFill>
                <a:srgbClr val="C0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grpSp>
        <xdr:grpSp>
          <xdr:nvGrpSpPr>
            <xdr:cNvPr id="197" name="Gruppieren 196"/>
            <xdr:cNvGrpSpPr/>
          </xdr:nvGrpSpPr>
          <xdr:grpSpPr>
            <a:xfrm rot="20058639">
              <a:off x="10258984" y="29757220"/>
              <a:ext cx="252132" cy="235755"/>
              <a:chOff x="8757397" y="29314588"/>
              <a:chExt cx="252132" cy="235755"/>
            </a:xfrm>
          </xdr:grpSpPr>
          <xdr:sp macro="" textlink="">
            <xdr:nvSpPr>
              <xdr:cNvPr id="201" name="Rechteck 200"/>
              <xdr:cNvSpPr/>
            </xdr:nvSpPr>
            <xdr:spPr bwMode="auto">
              <a:xfrm>
                <a:off x="8757397" y="29398632"/>
                <a:ext cx="59908" cy="61633"/>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202" name="Rechteck 201"/>
              <xdr:cNvSpPr/>
            </xdr:nvSpPr>
            <xdr:spPr bwMode="auto">
              <a:xfrm>
                <a:off x="8819029" y="29314588"/>
                <a:ext cx="190500" cy="235755"/>
              </a:xfrm>
              <a:prstGeom prst="rect">
                <a:avLst/>
              </a:prstGeom>
              <a:solidFill>
                <a:srgbClr val="C0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grpSp>
        <xdr:sp macro="" textlink="">
          <xdr:nvSpPr>
            <xdr:cNvPr id="198" name="Rechteck 197"/>
            <xdr:cNvSpPr/>
          </xdr:nvSpPr>
          <xdr:spPr bwMode="auto">
            <a:xfrm>
              <a:off x="7227794" y="31421294"/>
              <a:ext cx="3832412" cy="155761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199" name="Textfeld 198"/>
            <xdr:cNvSpPr txBox="1"/>
          </xdr:nvSpPr>
          <xdr:spPr>
            <a:xfrm>
              <a:off x="8358728" y="31448877"/>
              <a:ext cx="710711" cy="295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900 cm</a:t>
              </a:r>
            </a:p>
          </xdr:txBody>
        </xdr:sp>
        <xdr:sp macro="" textlink="">
          <xdr:nvSpPr>
            <xdr:cNvPr id="200" name="Rechteck 199"/>
            <xdr:cNvSpPr/>
          </xdr:nvSpPr>
          <xdr:spPr bwMode="auto">
            <a:xfrm>
              <a:off x="10320619" y="29902897"/>
              <a:ext cx="739588" cy="1507191"/>
            </a:xfrm>
            <a:prstGeom prst="rect">
              <a:avLst/>
            </a:prstGeom>
            <a:no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grpSp>
    </xdr:grpSp>
    <xdr:clientData/>
  </xdr:twoCellAnchor>
  <xdr:twoCellAnchor editAs="oneCell">
    <xdr:from>
      <xdr:col>10</xdr:col>
      <xdr:colOff>428624</xdr:colOff>
      <xdr:row>123</xdr:row>
      <xdr:rowOff>23812</xdr:rowOff>
    </xdr:from>
    <xdr:to>
      <xdr:col>15</xdr:col>
      <xdr:colOff>583405</xdr:colOff>
      <xdr:row>135</xdr:row>
      <xdr:rowOff>125955</xdr:rowOff>
    </xdr:to>
    <xdr:pic>
      <xdr:nvPicPr>
        <xdr:cNvPr id="179" name="Picture 5" descr="steigung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0812" y="20562093"/>
          <a:ext cx="3607593" cy="210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309562</xdr:colOff>
      <xdr:row>223</xdr:row>
      <xdr:rowOff>166687</xdr:rowOff>
    </xdr:from>
    <xdr:to>
      <xdr:col>6</xdr:col>
      <xdr:colOff>209550</xdr:colOff>
      <xdr:row>233</xdr:row>
      <xdr:rowOff>157162</xdr:rowOff>
    </xdr:to>
    <xdr:pic>
      <xdr:nvPicPr>
        <xdr:cNvPr id="180" name="Picture 4" descr="steigung0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05375" y="37373718"/>
          <a:ext cx="18288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404813</xdr:colOff>
      <xdr:row>222</xdr:row>
      <xdr:rowOff>23813</xdr:rowOff>
    </xdr:from>
    <xdr:to>
      <xdr:col>11</xdr:col>
      <xdr:colOff>398018</xdr:colOff>
      <xdr:row>240</xdr:row>
      <xdr:rowOff>0</xdr:rowOff>
    </xdr:to>
    <xdr:pic>
      <xdr:nvPicPr>
        <xdr:cNvPr id="181" name="Picture 2" descr="steigung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8719" y="37064157"/>
          <a:ext cx="2172049" cy="2976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994834</xdr:colOff>
      <xdr:row>24</xdr:row>
      <xdr:rowOff>129117</xdr:rowOff>
    </xdr:from>
    <xdr:to>
      <xdr:col>6</xdr:col>
      <xdr:colOff>473804</xdr:colOff>
      <xdr:row>39</xdr:row>
      <xdr:rowOff>21167</xdr:rowOff>
    </xdr:to>
    <xdr:pic>
      <xdr:nvPicPr>
        <xdr:cNvPr id="11"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8917" y="3939117"/>
          <a:ext cx="1817887" cy="227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753533</xdr:colOff>
      <xdr:row>24</xdr:row>
      <xdr:rowOff>148167</xdr:rowOff>
    </xdr:from>
    <xdr:to>
      <xdr:col>4</xdr:col>
      <xdr:colOff>802216</xdr:colOff>
      <xdr:row>30</xdr:row>
      <xdr:rowOff>46567</xdr:rowOff>
    </xdr:to>
    <xdr:pic>
      <xdr:nvPicPr>
        <xdr:cNvPr id="12" name="Picture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5700" y="3958167"/>
          <a:ext cx="9906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317500</xdr:colOff>
      <xdr:row>23</xdr:row>
      <xdr:rowOff>148166</xdr:rowOff>
    </xdr:from>
    <xdr:to>
      <xdr:col>2</xdr:col>
      <xdr:colOff>584200</xdr:colOff>
      <xdr:row>32</xdr:row>
      <xdr:rowOff>47473</xdr:rowOff>
    </xdr:to>
    <xdr:grpSp>
      <xdr:nvGrpSpPr>
        <xdr:cNvPr id="82" name="Gruppieren 81"/>
        <xdr:cNvGrpSpPr/>
      </xdr:nvGrpSpPr>
      <xdr:grpSpPr>
        <a:xfrm>
          <a:off x="1418167" y="3799416"/>
          <a:ext cx="2362200" cy="1328057"/>
          <a:chOff x="7905216" y="2139564"/>
          <a:chExt cx="2358639" cy="1323797"/>
        </a:xfrm>
      </xdr:grpSpPr>
      <xdr:sp macro="" textlink="">
        <xdr:nvSpPr>
          <xdr:cNvPr id="83" name="Text Box 11"/>
          <xdr:cNvSpPr txBox="1">
            <a:spLocks noChangeArrowheads="1"/>
          </xdr:cNvSpPr>
        </xdr:nvSpPr>
        <xdr:spPr bwMode="auto">
          <a:xfrm>
            <a:off x="7981416" y="2139564"/>
            <a:ext cx="2169029" cy="600075"/>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900" b="0" i="0" u="none" strike="noStrike" kern="0" cap="none" spc="0" normalizeH="0" baseline="0" noProof="0">
                <a:ln>
                  <a:noFill/>
                </a:ln>
                <a:solidFill>
                  <a:srgbClr val="000000"/>
                </a:solidFill>
                <a:effectLst/>
                <a:uLnTx/>
                <a:uFillTx/>
                <a:latin typeface="Arial"/>
                <a:cs typeface="Arial"/>
              </a:rPr>
              <a:t>Fall 1: Luft-Glas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900" b="0" i="0" u="none" strike="noStrike" kern="0" cap="none" spc="0" normalizeH="0" baseline="0" noProof="0">
                <a:ln>
                  <a:noFill/>
                </a:ln>
                <a:solidFill>
                  <a:srgbClr val="000000"/>
                </a:solidFill>
                <a:effectLst/>
                <a:uLnTx/>
                <a:uFillTx/>
                <a:latin typeface="Arial"/>
                <a:cs typeface="Arial"/>
              </a:rPr>
              <a:t>Fall 2: Luft-Schicht-Glas</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de-DE" sz="900" b="0" i="0" u="none" strike="noStrike" kern="0" cap="none" spc="0" normalizeH="0" baseline="0" noProof="0">
                <a:ln>
                  <a:noFill/>
                </a:ln>
                <a:solidFill>
                  <a:srgbClr val="000000"/>
                </a:solidFill>
                <a:effectLst/>
                <a:uLnTx/>
                <a:uFillTx/>
                <a:latin typeface="Arial"/>
                <a:cs typeface="Arial"/>
              </a:rPr>
              <a:t>Fall 3: Luft-Schicht 1-Schicht 2-Glas</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de-DE" sz="900" b="0" i="0" u="none" strike="noStrike" kern="0" cap="none" spc="0" normalizeH="0" baseline="0" noProof="0">
                <a:ln>
                  <a:noFill/>
                </a:ln>
                <a:solidFill>
                  <a:srgbClr val="000000"/>
                </a:solidFill>
                <a:effectLst/>
                <a:uLnTx/>
                <a:uFillTx/>
                <a:latin typeface="Arial"/>
                <a:cs typeface="Arial"/>
              </a:rPr>
              <a:t>Fall 4: Luft-Schicht 1-Schicht 2-Schicht 3-Glas</a:t>
            </a:r>
          </a:p>
        </xdr:txBody>
      </xdr:sp>
      <xdr:grpSp>
        <xdr:nvGrpSpPr>
          <xdr:cNvPr id="84" name="Gruppieren 83"/>
          <xdr:cNvGrpSpPr/>
        </xdr:nvGrpSpPr>
        <xdr:grpSpPr>
          <a:xfrm>
            <a:off x="7905216" y="2930584"/>
            <a:ext cx="2358639" cy="532777"/>
            <a:chOff x="7905216" y="2930584"/>
            <a:chExt cx="2358639" cy="532777"/>
          </a:xfrm>
        </xdr:grpSpPr>
        <xdr:sp macro="" textlink="">
          <xdr:nvSpPr>
            <xdr:cNvPr id="85" name="Rectangle 1"/>
            <xdr:cNvSpPr>
              <a:spLocks noChangeArrowheads="1"/>
            </xdr:cNvSpPr>
          </xdr:nvSpPr>
          <xdr:spPr bwMode="auto">
            <a:xfrm>
              <a:off x="8342476" y="3016309"/>
              <a:ext cx="399160" cy="28575"/>
            </a:xfrm>
            <a:prstGeom prst="rect">
              <a:avLst/>
            </a:prstGeom>
            <a:solidFill>
              <a:srgbClr val="0000FF"/>
            </a:solidFill>
            <a:ln w="9525">
              <a:solidFill>
                <a:srgbClr val="0000FF"/>
              </a:solidFill>
              <a:miter lim="800000"/>
              <a:headEnd/>
              <a:tailEnd/>
            </a:ln>
          </xdr:spPr>
        </xdr:sp>
        <xdr:sp macro="" textlink="">
          <xdr:nvSpPr>
            <xdr:cNvPr id="86" name="Rectangle 2"/>
            <xdr:cNvSpPr>
              <a:spLocks noChangeArrowheads="1"/>
            </xdr:cNvSpPr>
          </xdr:nvSpPr>
          <xdr:spPr bwMode="auto">
            <a:xfrm>
              <a:off x="7905216" y="3054409"/>
              <a:ext cx="322960" cy="312634"/>
            </a:xfrm>
            <a:prstGeom prst="rect">
              <a:avLst/>
            </a:prstGeom>
            <a:solidFill>
              <a:srgbClr val="FFFFFF"/>
            </a:solidFill>
            <a:ln w="9525">
              <a:solidFill>
                <a:srgbClr val="000000"/>
              </a:solidFill>
              <a:miter lim="800000"/>
              <a:headEnd/>
              <a:tailEnd/>
            </a:ln>
          </xdr:spPr>
        </xdr:sp>
        <xdr:sp macro="" textlink="">
          <xdr:nvSpPr>
            <xdr:cNvPr id="87" name="Rectangle 3"/>
            <xdr:cNvSpPr>
              <a:spLocks noChangeArrowheads="1"/>
            </xdr:cNvSpPr>
          </xdr:nvSpPr>
          <xdr:spPr bwMode="auto">
            <a:xfrm>
              <a:off x="8342476" y="3044884"/>
              <a:ext cx="399160" cy="322159"/>
            </a:xfrm>
            <a:prstGeom prst="rect">
              <a:avLst/>
            </a:prstGeom>
            <a:solidFill>
              <a:srgbClr val="FFFFFF"/>
            </a:solidFill>
            <a:ln w="9525">
              <a:solidFill>
                <a:srgbClr val="000000"/>
              </a:solidFill>
              <a:miter lim="800000"/>
              <a:headEnd/>
              <a:tailEnd/>
            </a:ln>
          </xdr:spPr>
        </xdr:sp>
        <xdr:sp macro="" textlink="">
          <xdr:nvSpPr>
            <xdr:cNvPr id="88" name="Rectangle 4"/>
            <xdr:cNvSpPr>
              <a:spLocks noChangeArrowheads="1"/>
            </xdr:cNvSpPr>
          </xdr:nvSpPr>
          <xdr:spPr bwMode="auto">
            <a:xfrm>
              <a:off x="8827361" y="3044884"/>
              <a:ext cx="619125" cy="322158"/>
            </a:xfrm>
            <a:prstGeom prst="rect">
              <a:avLst/>
            </a:prstGeom>
            <a:solidFill>
              <a:srgbClr val="FFFFFF"/>
            </a:solidFill>
            <a:ln w="9525">
              <a:solidFill>
                <a:srgbClr val="000000"/>
              </a:solidFill>
              <a:miter lim="800000"/>
              <a:headEnd/>
              <a:tailEnd/>
            </a:ln>
          </xdr:spPr>
        </xdr:sp>
        <xdr:sp macro="" textlink="">
          <xdr:nvSpPr>
            <xdr:cNvPr id="89" name="Rectangle 5"/>
            <xdr:cNvSpPr>
              <a:spLocks noChangeArrowheads="1"/>
            </xdr:cNvSpPr>
          </xdr:nvSpPr>
          <xdr:spPr bwMode="auto">
            <a:xfrm>
              <a:off x="9645620" y="3044884"/>
              <a:ext cx="618235" cy="312634"/>
            </a:xfrm>
            <a:prstGeom prst="rect">
              <a:avLst/>
            </a:prstGeom>
            <a:solidFill>
              <a:srgbClr val="FFFFFF"/>
            </a:solidFill>
            <a:ln w="9525">
              <a:solidFill>
                <a:srgbClr val="000000"/>
              </a:solidFill>
              <a:miter lim="800000"/>
              <a:headEnd/>
              <a:tailEnd/>
            </a:ln>
          </xdr:spPr>
        </xdr:sp>
        <xdr:grpSp>
          <xdr:nvGrpSpPr>
            <xdr:cNvPr id="90" name="Group 24"/>
            <xdr:cNvGrpSpPr>
              <a:grpSpLocks/>
            </xdr:cNvGrpSpPr>
          </xdr:nvGrpSpPr>
          <xdr:grpSpPr bwMode="auto">
            <a:xfrm>
              <a:off x="8827361" y="2978209"/>
              <a:ext cx="609600" cy="66675"/>
              <a:chOff x="927" y="312"/>
              <a:chExt cx="64" cy="7"/>
            </a:xfrm>
          </xdr:grpSpPr>
          <xdr:sp macro="" textlink="">
            <xdr:nvSpPr>
              <xdr:cNvPr id="103" name="Rectangle 6"/>
              <xdr:cNvSpPr>
                <a:spLocks noChangeArrowheads="1"/>
              </xdr:cNvSpPr>
            </xdr:nvSpPr>
            <xdr:spPr bwMode="auto">
              <a:xfrm>
                <a:off x="927" y="316"/>
                <a:ext cx="64" cy="3"/>
              </a:xfrm>
              <a:prstGeom prst="rect">
                <a:avLst/>
              </a:prstGeom>
              <a:solidFill>
                <a:srgbClr val="0000FF"/>
              </a:solidFill>
              <a:ln w="9525">
                <a:solidFill>
                  <a:srgbClr val="0000FF"/>
                </a:solidFill>
                <a:miter lim="800000"/>
                <a:headEnd/>
                <a:tailEnd/>
              </a:ln>
            </xdr:spPr>
          </xdr:sp>
          <xdr:sp macro="" textlink="">
            <xdr:nvSpPr>
              <xdr:cNvPr id="104" name="Rectangle 9"/>
              <xdr:cNvSpPr>
                <a:spLocks noChangeArrowheads="1"/>
              </xdr:cNvSpPr>
            </xdr:nvSpPr>
            <xdr:spPr bwMode="auto">
              <a:xfrm>
                <a:off x="927" y="312"/>
                <a:ext cx="64" cy="3"/>
              </a:xfrm>
              <a:prstGeom prst="rect">
                <a:avLst/>
              </a:prstGeom>
              <a:solidFill>
                <a:srgbClr val="339966"/>
              </a:solidFill>
              <a:ln w="9525">
                <a:solidFill>
                  <a:srgbClr val="339966"/>
                </a:solidFill>
                <a:miter lim="800000"/>
                <a:headEnd/>
                <a:tailEnd/>
              </a:ln>
            </xdr:spPr>
          </xdr:sp>
        </xdr:grpSp>
        <xdr:grpSp>
          <xdr:nvGrpSpPr>
            <xdr:cNvPr id="91" name="Group 19"/>
            <xdr:cNvGrpSpPr>
              <a:grpSpLocks/>
            </xdr:cNvGrpSpPr>
          </xdr:nvGrpSpPr>
          <xdr:grpSpPr bwMode="auto">
            <a:xfrm>
              <a:off x="9645620" y="2930584"/>
              <a:ext cx="609600" cy="104775"/>
              <a:chOff x="1122" y="298"/>
              <a:chExt cx="64" cy="11"/>
            </a:xfrm>
          </xdr:grpSpPr>
          <xdr:sp macro="" textlink="">
            <xdr:nvSpPr>
              <xdr:cNvPr id="100" name="Rectangle 7"/>
              <xdr:cNvSpPr>
                <a:spLocks noChangeArrowheads="1"/>
              </xdr:cNvSpPr>
            </xdr:nvSpPr>
            <xdr:spPr bwMode="auto">
              <a:xfrm>
                <a:off x="1122" y="306"/>
                <a:ext cx="64" cy="3"/>
              </a:xfrm>
              <a:prstGeom prst="rect">
                <a:avLst/>
              </a:prstGeom>
              <a:solidFill>
                <a:srgbClr val="0000FF"/>
              </a:solidFill>
              <a:ln w="9525">
                <a:solidFill>
                  <a:srgbClr val="0000FF"/>
                </a:solidFill>
                <a:miter lim="800000"/>
                <a:headEnd/>
                <a:tailEnd/>
              </a:ln>
            </xdr:spPr>
          </xdr:sp>
          <xdr:sp macro="" textlink="">
            <xdr:nvSpPr>
              <xdr:cNvPr id="101" name="Rectangle 8"/>
              <xdr:cNvSpPr>
                <a:spLocks noChangeArrowheads="1"/>
              </xdr:cNvSpPr>
            </xdr:nvSpPr>
            <xdr:spPr bwMode="auto">
              <a:xfrm>
                <a:off x="1122" y="302"/>
                <a:ext cx="64" cy="3"/>
              </a:xfrm>
              <a:prstGeom prst="rect">
                <a:avLst/>
              </a:prstGeom>
              <a:solidFill>
                <a:srgbClr val="339966"/>
              </a:solidFill>
              <a:ln w="9525">
                <a:solidFill>
                  <a:srgbClr val="339966"/>
                </a:solidFill>
                <a:miter lim="800000"/>
                <a:headEnd/>
                <a:tailEnd/>
              </a:ln>
            </xdr:spPr>
          </xdr:sp>
          <xdr:sp macro="" textlink="">
            <xdr:nvSpPr>
              <xdr:cNvPr id="102" name="Rectangle 10"/>
              <xdr:cNvSpPr>
                <a:spLocks noChangeArrowheads="1"/>
              </xdr:cNvSpPr>
            </xdr:nvSpPr>
            <xdr:spPr bwMode="auto">
              <a:xfrm>
                <a:off x="1122" y="298"/>
                <a:ext cx="64" cy="3"/>
              </a:xfrm>
              <a:prstGeom prst="rect">
                <a:avLst/>
              </a:prstGeom>
              <a:solidFill>
                <a:srgbClr val="FF9900"/>
              </a:solidFill>
              <a:ln w="9525">
                <a:solidFill>
                  <a:srgbClr val="FF9900"/>
                </a:solidFill>
                <a:miter lim="800000"/>
                <a:headEnd/>
                <a:tailEnd/>
              </a:ln>
            </xdr:spPr>
          </xdr:sp>
        </xdr:grpSp>
        <xdr:grpSp>
          <xdr:nvGrpSpPr>
            <xdr:cNvPr id="92" name="Group 20"/>
            <xdr:cNvGrpSpPr>
              <a:grpSpLocks/>
            </xdr:cNvGrpSpPr>
          </xdr:nvGrpSpPr>
          <xdr:grpSpPr bwMode="auto">
            <a:xfrm rot="10800000">
              <a:off x="9645620" y="3357518"/>
              <a:ext cx="609600" cy="105843"/>
              <a:chOff x="1122" y="298"/>
              <a:chExt cx="64" cy="11"/>
            </a:xfrm>
          </xdr:grpSpPr>
          <xdr:sp macro="" textlink="">
            <xdr:nvSpPr>
              <xdr:cNvPr id="97" name="Rectangle 21"/>
              <xdr:cNvSpPr>
                <a:spLocks noChangeArrowheads="1"/>
              </xdr:cNvSpPr>
            </xdr:nvSpPr>
            <xdr:spPr bwMode="auto">
              <a:xfrm>
                <a:off x="1122" y="306"/>
                <a:ext cx="64" cy="3"/>
              </a:xfrm>
              <a:prstGeom prst="rect">
                <a:avLst/>
              </a:prstGeom>
              <a:solidFill>
                <a:srgbClr val="0000FF"/>
              </a:solidFill>
              <a:ln w="9525">
                <a:solidFill>
                  <a:srgbClr val="0000FF"/>
                </a:solidFill>
                <a:miter lim="800000"/>
                <a:headEnd/>
                <a:tailEnd/>
              </a:ln>
            </xdr:spPr>
          </xdr:sp>
          <xdr:sp macro="" textlink="">
            <xdr:nvSpPr>
              <xdr:cNvPr id="98" name="Rectangle 22"/>
              <xdr:cNvSpPr>
                <a:spLocks noChangeArrowheads="1"/>
              </xdr:cNvSpPr>
            </xdr:nvSpPr>
            <xdr:spPr bwMode="auto">
              <a:xfrm>
                <a:off x="1122" y="302"/>
                <a:ext cx="64" cy="3"/>
              </a:xfrm>
              <a:prstGeom prst="rect">
                <a:avLst/>
              </a:prstGeom>
              <a:solidFill>
                <a:srgbClr val="339966"/>
              </a:solidFill>
              <a:ln w="9525">
                <a:solidFill>
                  <a:srgbClr val="339966"/>
                </a:solidFill>
                <a:miter lim="800000"/>
                <a:headEnd/>
                <a:tailEnd/>
              </a:ln>
            </xdr:spPr>
          </xdr:sp>
          <xdr:sp macro="" textlink="">
            <xdr:nvSpPr>
              <xdr:cNvPr id="99" name="Rectangle 23"/>
              <xdr:cNvSpPr>
                <a:spLocks noChangeArrowheads="1"/>
              </xdr:cNvSpPr>
            </xdr:nvSpPr>
            <xdr:spPr bwMode="auto">
              <a:xfrm>
                <a:off x="1122" y="298"/>
                <a:ext cx="64" cy="3"/>
              </a:xfrm>
              <a:prstGeom prst="rect">
                <a:avLst/>
              </a:prstGeom>
              <a:solidFill>
                <a:srgbClr val="FF9900"/>
              </a:solidFill>
              <a:ln w="9525">
                <a:solidFill>
                  <a:srgbClr val="FF9900"/>
                </a:solidFill>
                <a:miter lim="800000"/>
                <a:headEnd/>
                <a:tailEnd/>
              </a:ln>
            </xdr:spPr>
          </xdr:sp>
        </xdr:grpSp>
        <xdr:grpSp>
          <xdr:nvGrpSpPr>
            <xdr:cNvPr id="93" name="Group 25"/>
            <xdr:cNvGrpSpPr>
              <a:grpSpLocks/>
            </xdr:cNvGrpSpPr>
          </xdr:nvGrpSpPr>
          <xdr:grpSpPr bwMode="auto">
            <a:xfrm rot="10800000">
              <a:off x="8827361" y="3367043"/>
              <a:ext cx="609600" cy="67743"/>
              <a:chOff x="927" y="312"/>
              <a:chExt cx="64" cy="7"/>
            </a:xfrm>
          </xdr:grpSpPr>
          <xdr:sp macro="" textlink="">
            <xdr:nvSpPr>
              <xdr:cNvPr id="95" name="Rectangle 26"/>
              <xdr:cNvSpPr>
                <a:spLocks noChangeArrowheads="1"/>
              </xdr:cNvSpPr>
            </xdr:nvSpPr>
            <xdr:spPr bwMode="auto">
              <a:xfrm>
                <a:off x="927" y="316"/>
                <a:ext cx="64" cy="3"/>
              </a:xfrm>
              <a:prstGeom prst="rect">
                <a:avLst/>
              </a:prstGeom>
              <a:solidFill>
                <a:srgbClr val="0000FF"/>
              </a:solidFill>
              <a:ln w="9525">
                <a:solidFill>
                  <a:srgbClr val="0000FF"/>
                </a:solidFill>
                <a:miter lim="800000"/>
                <a:headEnd/>
                <a:tailEnd/>
              </a:ln>
            </xdr:spPr>
          </xdr:sp>
          <xdr:sp macro="" textlink="">
            <xdr:nvSpPr>
              <xdr:cNvPr id="96" name="Rectangle 27"/>
              <xdr:cNvSpPr>
                <a:spLocks noChangeArrowheads="1"/>
              </xdr:cNvSpPr>
            </xdr:nvSpPr>
            <xdr:spPr bwMode="auto">
              <a:xfrm>
                <a:off x="927" y="312"/>
                <a:ext cx="64" cy="3"/>
              </a:xfrm>
              <a:prstGeom prst="rect">
                <a:avLst/>
              </a:prstGeom>
              <a:solidFill>
                <a:srgbClr val="339966"/>
              </a:solidFill>
              <a:ln w="9525">
                <a:solidFill>
                  <a:srgbClr val="339966"/>
                </a:solidFill>
                <a:miter lim="800000"/>
                <a:headEnd/>
                <a:tailEnd/>
              </a:ln>
            </xdr:spPr>
          </xdr:sp>
        </xdr:grpSp>
        <xdr:sp macro="" textlink="">
          <xdr:nvSpPr>
            <xdr:cNvPr id="94" name="Rectangle 28"/>
            <xdr:cNvSpPr>
              <a:spLocks noChangeArrowheads="1"/>
            </xdr:cNvSpPr>
          </xdr:nvSpPr>
          <xdr:spPr bwMode="auto">
            <a:xfrm>
              <a:off x="8342476" y="3367043"/>
              <a:ext cx="399160" cy="29643"/>
            </a:xfrm>
            <a:prstGeom prst="rect">
              <a:avLst/>
            </a:prstGeom>
            <a:solidFill>
              <a:srgbClr val="0000FF"/>
            </a:solidFill>
            <a:ln w="9525">
              <a:solidFill>
                <a:srgbClr val="0000FF"/>
              </a:solidFill>
              <a:miter lim="800000"/>
              <a:headEnd/>
              <a:tailEnd/>
            </a:ln>
          </xdr:spPr>
        </xdr:sp>
      </xdr:grpSp>
    </xdr:grpSp>
    <xdr:clientData/>
  </xdr:twoCellAnchor>
  <xdr:twoCellAnchor>
    <xdr:from>
      <xdr:col>0</xdr:col>
      <xdr:colOff>296333</xdr:colOff>
      <xdr:row>1</xdr:row>
      <xdr:rowOff>137584</xdr:rowOff>
    </xdr:from>
    <xdr:to>
      <xdr:col>7</xdr:col>
      <xdr:colOff>211667</xdr:colOff>
      <xdr:row>22</xdr:row>
      <xdr:rowOff>84668</xdr:rowOff>
    </xdr:to>
    <xdr:sp macro="" textlink="">
      <xdr:nvSpPr>
        <xdr:cNvPr id="105" name="Textfeld 104"/>
        <xdr:cNvSpPr txBox="1"/>
      </xdr:nvSpPr>
      <xdr:spPr>
        <a:xfrm>
          <a:off x="296333" y="296334"/>
          <a:ext cx="7503584" cy="328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none" strike="noStrike">
              <a:solidFill>
                <a:schemeClr val="dk1"/>
              </a:solidFill>
              <a:effectLst/>
              <a:latin typeface="+mn-lt"/>
              <a:ea typeface="+mn-ea"/>
              <a:cs typeface="+mn-cs"/>
            </a:rPr>
            <a:t>Licht-Spiegelung auf Glasoberflächen -Vergütung/Entspiegelung</a:t>
          </a:r>
          <a:r>
            <a:rPr lang="de-DE"/>
            <a:t> </a:t>
          </a:r>
          <a:r>
            <a:rPr lang="de-DE" sz="1100" b="0" i="0" u="none" strike="noStrike">
              <a:solidFill>
                <a:schemeClr val="dk1"/>
              </a:solidFill>
              <a:effectLst/>
              <a:latin typeface="+mn-lt"/>
              <a:ea typeface="+mn-ea"/>
              <a:cs typeface="+mn-cs"/>
            </a:rPr>
            <a:t> </a:t>
          </a:r>
          <a:r>
            <a:rPr lang="de-DE"/>
            <a:t> </a:t>
          </a:r>
          <a:r>
            <a:rPr lang="de-DE" sz="1100" b="1"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1"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Wenn Licht auf eine Glasoberfläche trifft, wird immer ein kleiner Teil des Lichts reflektiert, durchdringt das Glas also nicht. Bei Objektiven findet innerhalb des Linsensystems eine Mehrfachreflexion statt, die zu Streulicht führt, das zum Teil das Filmmaterial erreicht und dort Schärfe und Kontrast mindert.</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Das Ausmaß der Teilreflexion hängt von den Brechungsindizes der beteiligten durchsichtigen Stoffe ab.</a:t>
          </a:r>
          <a:r>
            <a:rPr lang="de-DE"/>
            <a:t> </a:t>
          </a:r>
          <a:r>
            <a:rPr lang="de-DE" sz="1100" b="0" i="0" u="none" strike="noStrike">
              <a:solidFill>
                <a:schemeClr val="dk1"/>
              </a:solidFill>
              <a:effectLst/>
              <a:latin typeface="+mn-lt"/>
              <a:ea typeface="+mn-ea"/>
              <a:cs typeface="+mn-cs"/>
            </a:rPr>
            <a:t> </a:t>
          </a:r>
          <a:r>
            <a:rPr lang="de-DE"/>
            <a:t> </a:t>
          </a:r>
          <a:r>
            <a:rPr lang="de-DE" sz="1100" b="1"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p>
        <a:p>
          <a:r>
            <a:rPr lang="de-DE" sz="1100" b="0" i="0" u="none" strike="noStrike">
              <a:solidFill>
                <a:schemeClr val="dk1"/>
              </a:solidFill>
              <a:effectLst/>
              <a:latin typeface="+mn-lt"/>
              <a:ea typeface="+mn-ea"/>
              <a:cs typeface="+mn-cs"/>
            </a:rPr>
            <a:t>Teilreflexion = [(Brechungsindex1 - Brechungsindex2) / (Brechungsindex 1 + Brechungsindex2)] hoch 2</a:t>
          </a:r>
          <a:r>
            <a:rPr lang="de-DE"/>
            <a:t> </a:t>
          </a:r>
          <a:r>
            <a:rPr lang="de-DE" sz="1100" b="0" i="0" u="none" strike="noStrike">
              <a:solidFill>
                <a:schemeClr val="dk1"/>
              </a:solidFill>
              <a:effectLst/>
              <a:latin typeface="+mn-lt"/>
              <a:ea typeface="+mn-ea"/>
              <a:cs typeface="+mn-cs"/>
            </a:rPr>
            <a:t> </a:t>
          </a:r>
          <a:r>
            <a:rPr lang="de-DE"/>
            <a:t> </a:t>
          </a:r>
          <a:r>
            <a:rPr lang="de-DE" sz="1100" b="1"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Dampft man auf die Glasoberfläche eine dünne, durchsichtige Schicht auf mit einem Brechungsindex, der zwischen den vorhandenen Brechungsindizes, z. B. von Luft und Glas, liegt, findet die Teilreflexion zwar zweimal statt, nämlich bei beiden Übergängen in ein anderes Medium, die Summe beider Teilreflexionen ist allerdings geringer geworden. Durch Mehrschichten-Vergütung kann man die Teilreflexion/Spiegelung immer weiter verringern.</a:t>
          </a:r>
          <a:r>
            <a:rPr lang="de-DE"/>
            <a:t> </a:t>
          </a:r>
          <a:r>
            <a:rPr lang="de-DE" sz="1100" b="0" i="0" u="none" strike="noStrike">
              <a:solidFill>
                <a:schemeClr val="dk1"/>
              </a:solidFill>
              <a:effectLst/>
              <a:latin typeface="+mn-lt"/>
              <a:ea typeface="+mn-ea"/>
              <a:cs typeface="+mn-cs"/>
            </a:rPr>
            <a:t> </a:t>
          </a:r>
          <a:r>
            <a:rPr lang="de-DE"/>
            <a:t> </a:t>
          </a:r>
          <a:r>
            <a:rPr lang="de-DE" sz="1100" b="1"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p>
        <a:p>
          <a:endParaRPr lang="de-DE" sz="1100" b="1" i="0" u="none" strike="noStrike">
            <a:solidFill>
              <a:schemeClr val="dk1"/>
            </a:solidFill>
            <a:effectLst/>
            <a:latin typeface="+mn-lt"/>
            <a:ea typeface="+mn-ea"/>
            <a:cs typeface="+mn-cs"/>
          </a:endParaRPr>
        </a:p>
        <a:p>
          <a:r>
            <a:rPr lang="de-DE" sz="1100" b="1" i="0" u="none" strike="noStrike">
              <a:solidFill>
                <a:schemeClr val="dk1"/>
              </a:solidFill>
              <a:effectLst/>
              <a:latin typeface="+mn-lt"/>
              <a:ea typeface="+mn-ea"/>
              <a:cs typeface="+mn-cs"/>
            </a:rPr>
            <a:t>Erstellen Sie ein Berechnungsmodell für eine nicht vergütete Glasoberfläche, für eine einfach-, zweifach- und dreifach-vergütete Glasoberfläche.</a:t>
          </a:r>
          <a:r>
            <a:rPr lang="de-DE"/>
            <a:t> </a:t>
          </a:r>
          <a:r>
            <a:rPr lang="de-DE" sz="1100" b="0" i="0" u="none" strike="noStrike">
              <a:solidFill>
                <a:schemeClr val="dk1"/>
              </a:solidFill>
              <a:effectLst/>
              <a:latin typeface="+mn-lt"/>
              <a:ea typeface="+mn-ea"/>
              <a:cs typeface="+mn-cs"/>
            </a:rPr>
            <a:t> </a:t>
          </a:r>
          <a:r>
            <a:rPr lang="de-DE"/>
            <a:t> </a:t>
          </a:r>
          <a:r>
            <a:rPr lang="de-DE" sz="1100" b="1" i="0" u="none" strike="noStrike">
              <a:solidFill>
                <a:schemeClr val="dk1"/>
              </a:solidFill>
              <a:effectLst/>
              <a:latin typeface="+mn-lt"/>
              <a:ea typeface="+mn-ea"/>
              <a:cs typeface="+mn-cs"/>
            </a:rPr>
            <a:t> </a:t>
          </a:r>
          <a:r>
            <a:rPr lang="de-DE"/>
            <a:t> </a:t>
          </a:r>
          <a:r>
            <a:rPr lang="de-DE" sz="1100" b="0" i="0" u="none" strike="noStrike">
              <a:solidFill>
                <a:schemeClr val="dk1"/>
              </a:solidFill>
              <a:effectLst/>
              <a:latin typeface="+mn-lt"/>
              <a:ea typeface="+mn-ea"/>
              <a:cs typeface="+mn-cs"/>
            </a:rPr>
            <a:t> </a:t>
          </a:r>
          <a:r>
            <a:rPr lang="de-DE"/>
            <a:t> </a:t>
          </a:r>
        </a:p>
        <a:p>
          <a:r>
            <a:rPr lang="de-DE" sz="1100" b="1" i="0" u="none" strike="noStrike">
              <a:solidFill>
                <a:schemeClr val="dk1"/>
              </a:solidFill>
              <a:effectLst/>
              <a:latin typeface="+mn-lt"/>
              <a:ea typeface="+mn-ea"/>
              <a:cs typeface="+mn-cs"/>
            </a:rPr>
            <a:t>Erweitern Sie das Berechnungsmodell so, dass man für 2 oder mehr Linsen eines Objektivs den gesamten Lichtverlust errechnen kann, der an allen Linsenoberflächen stattfindet.</a:t>
          </a:r>
          <a:r>
            <a:rPr lang="de-DE"/>
            <a:t>  </a:t>
          </a:r>
          <a:endParaRPr lang="de-DE" sz="1100"/>
        </a:p>
      </xdr:txBody>
    </xdr:sp>
    <xdr:clientData/>
  </xdr:twoCellAnchor>
  <xdr:twoCellAnchor>
    <xdr:from>
      <xdr:col>9</xdr:col>
      <xdr:colOff>116417</xdr:colOff>
      <xdr:row>42</xdr:row>
      <xdr:rowOff>148167</xdr:rowOff>
    </xdr:from>
    <xdr:to>
      <xdr:col>13</xdr:col>
      <xdr:colOff>659342</xdr:colOff>
      <xdr:row>62</xdr:row>
      <xdr:rowOff>21166</xdr:rowOff>
    </xdr:to>
    <xdr:graphicFrame macro="">
      <xdr:nvGraphicFramePr>
        <xdr:cNvPr id="10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758825</xdr:colOff>
      <xdr:row>503</xdr:row>
      <xdr:rowOff>93133</xdr:rowOff>
    </xdr:from>
    <xdr:to>
      <xdr:col>5</xdr:col>
      <xdr:colOff>21167</xdr:colOff>
      <xdr:row>507</xdr:row>
      <xdr:rowOff>102658</xdr:rowOff>
    </xdr:to>
    <xdr:sp macro="" textlink="">
      <xdr:nvSpPr>
        <xdr:cNvPr id="109" name="Text Box 6"/>
        <xdr:cNvSpPr txBox="1">
          <a:spLocks noChangeArrowheads="1"/>
        </xdr:cNvSpPr>
      </xdr:nvSpPr>
      <xdr:spPr bwMode="auto">
        <a:xfrm>
          <a:off x="758825" y="72165633"/>
          <a:ext cx="5040842" cy="64452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000000"/>
              </a:solidFill>
              <a:latin typeface="Arial"/>
              <a:cs typeface="Arial"/>
            </a:rPr>
            <a:t>Formel für mehrlinsiges Objektiv:</a:t>
          </a:r>
        </a:p>
        <a:p>
          <a:pPr algn="l" rtl="0">
            <a:defRPr sz="1000"/>
          </a:pPr>
          <a:r>
            <a:rPr lang="de-DE" sz="1000" b="1" i="0" strike="noStrike">
              <a:solidFill>
                <a:srgbClr val="000000"/>
              </a:solidFill>
              <a:latin typeface="Arial"/>
              <a:cs typeface="Arial"/>
            </a:rPr>
            <a:t>(Ausgangslichtintensität - Reflexionsverlust) hoch (Grenzflächenanzahl)</a:t>
          </a:r>
        </a:p>
      </xdr:txBody>
    </xdr:sp>
    <xdr:clientData/>
  </xdr:twoCellAnchor>
  <xdr:twoCellAnchor>
    <xdr:from>
      <xdr:col>4</xdr:col>
      <xdr:colOff>95250</xdr:colOff>
      <xdr:row>458</xdr:row>
      <xdr:rowOff>74084</xdr:rowOff>
    </xdr:from>
    <xdr:to>
      <xdr:col>10</xdr:col>
      <xdr:colOff>189442</xdr:colOff>
      <xdr:row>483</xdr:row>
      <xdr:rowOff>20109</xdr:rowOff>
    </xdr:to>
    <xdr:graphicFrame macro="">
      <xdr:nvGraphicFramePr>
        <xdr:cNvPr id="1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361950</xdr:colOff>
      <xdr:row>37</xdr:row>
      <xdr:rowOff>133350</xdr:rowOff>
    </xdr:from>
    <xdr:to>
      <xdr:col>7</xdr:col>
      <xdr:colOff>666750</xdr:colOff>
      <xdr:row>58</xdr:row>
      <xdr:rowOff>0</xdr:rowOff>
    </xdr:to>
    <xdr:grpSp>
      <xdr:nvGrpSpPr>
        <xdr:cNvPr id="2" name="Group 28"/>
        <xdr:cNvGrpSpPr>
          <a:grpSpLocks/>
        </xdr:cNvGrpSpPr>
      </xdr:nvGrpSpPr>
      <xdr:grpSpPr bwMode="auto">
        <a:xfrm>
          <a:off x="2362200" y="6007100"/>
          <a:ext cx="4114800" cy="3200400"/>
          <a:chOff x="169" y="43"/>
          <a:chExt cx="432" cy="343"/>
        </a:xfrm>
      </xdr:grpSpPr>
      <xdr:sp macro="" textlink="">
        <xdr:nvSpPr>
          <xdr:cNvPr id="3" name="Rectangle 3"/>
          <xdr:cNvSpPr>
            <a:spLocks noChangeArrowheads="1"/>
          </xdr:cNvSpPr>
        </xdr:nvSpPr>
        <xdr:spPr bwMode="auto">
          <a:xfrm rot="-1792343">
            <a:off x="397" y="119"/>
            <a:ext cx="142" cy="185"/>
          </a:xfrm>
          <a:prstGeom prst="rect">
            <a:avLst/>
          </a:prstGeom>
          <a:solidFill>
            <a:srgbClr val="FFFFFF"/>
          </a:solidFill>
          <a:ln w="9525">
            <a:solidFill>
              <a:srgbClr val="000000"/>
            </a:solidFill>
            <a:miter lim="800000"/>
            <a:headEnd/>
            <a:tailEnd/>
          </a:ln>
        </xdr:spPr>
      </xdr:sp>
      <xdr:sp macro="" textlink="">
        <xdr:nvSpPr>
          <xdr:cNvPr id="4" name="Rectangle 1"/>
          <xdr:cNvSpPr>
            <a:spLocks noChangeArrowheads="1"/>
          </xdr:cNvSpPr>
        </xdr:nvSpPr>
        <xdr:spPr bwMode="auto">
          <a:xfrm>
            <a:off x="201" y="166"/>
            <a:ext cx="400" cy="220"/>
          </a:xfrm>
          <a:prstGeom prst="rect">
            <a:avLst/>
          </a:prstGeom>
          <a:solidFill>
            <a:srgbClr val="FFFFFF">
              <a:alpha val="30196"/>
            </a:srgbClr>
          </a:solidFill>
          <a:ln w="9525">
            <a:solidFill>
              <a:srgbClr val="000000"/>
            </a:solidFill>
            <a:miter lim="800000"/>
            <a:headEnd/>
            <a:tailEnd/>
          </a:ln>
        </xdr:spPr>
      </xdr:sp>
      <xdr:sp macro="" textlink="">
        <xdr:nvSpPr>
          <xdr:cNvPr id="5" name="Line 2"/>
          <xdr:cNvSpPr>
            <a:spLocks noChangeShapeType="1"/>
          </xdr:cNvSpPr>
        </xdr:nvSpPr>
        <xdr:spPr bwMode="auto">
          <a:xfrm>
            <a:off x="361" y="71"/>
            <a:ext cx="0" cy="295"/>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6" name="Line 5"/>
          <xdr:cNvSpPr>
            <a:spLocks noChangeShapeType="1"/>
          </xdr:cNvSpPr>
        </xdr:nvSpPr>
        <xdr:spPr bwMode="auto">
          <a:xfrm>
            <a:off x="169" y="54"/>
            <a:ext cx="192" cy="111"/>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6"/>
          <xdr:cNvSpPr>
            <a:spLocks noChangeShapeType="1"/>
          </xdr:cNvSpPr>
        </xdr:nvSpPr>
        <xdr:spPr bwMode="auto">
          <a:xfrm flipV="1">
            <a:off x="362" y="68"/>
            <a:ext cx="169" cy="9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
          <xdr:cNvSpPr>
            <a:spLocks noChangeShapeType="1"/>
          </xdr:cNvSpPr>
        </xdr:nvSpPr>
        <xdr:spPr bwMode="auto">
          <a:xfrm>
            <a:off x="360" y="166"/>
            <a:ext cx="113" cy="199"/>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Text Box 13"/>
          <xdr:cNvSpPr txBox="1">
            <a:spLocks noChangeArrowheads="1"/>
          </xdr:cNvSpPr>
        </xdr:nvSpPr>
        <xdr:spPr bwMode="auto">
          <a:xfrm>
            <a:off x="266" y="90"/>
            <a:ext cx="87" cy="30"/>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Einfallswinkel</a:t>
            </a:r>
          </a:p>
        </xdr:txBody>
      </xdr:sp>
      <xdr:sp macro="" textlink="">
        <xdr:nvSpPr>
          <xdr:cNvPr id="10" name="Text Box 14"/>
          <xdr:cNvSpPr txBox="1">
            <a:spLocks noChangeArrowheads="1"/>
          </xdr:cNvSpPr>
        </xdr:nvSpPr>
        <xdr:spPr bwMode="auto">
          <a:xfrm>
            <a:off x="361" y="347"/>
            <a:ext cx="110" cy="31"/>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Brechungswinkel</a:t>
            </a:r>
          </a:p>
        </xdr:txBody>
      </xdr:sp>
      <xdr:sp macro="" textlink="">
        <xdr:nvSpPr>
          <xdr:cNvPr id="11" name="Text Box 13"/>
          <xdr:cNvSpPr txBox="1">
            <a:spLocks noChangeArrowheads="1"/>
          </xdr:cNvSpPr>
        </xdr:nvSpPr>
        <xdr:spPr bwMode="auto">
          <a:xfrm>
            <a:off x="369" y="90"/>
            <a:ext cx="87" cy="30"/>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Ausfallswinkel</a:t>
            </a:r>
          </a:p>
        </xdr:txBody>
      </xdr:sp>
      <xdr:sp macro="" textlink="">
        <xdr:nvSpPr>
          <xdr:cNvPr id="12" name="AutoShape 17"/>
          <xdr:cNvSpPr>
            <a:spLocks noChangeArrowheads="1"/>
          </xdr:cNvSpPr>
        </xdr:nvSpPr>
        <xdr:spPr bwMode="auto">
          <a:xfrm rot="5400000" flipH="1">
            <a:off x="319" y="220"/>
            <a:ext cx="205" cy="118"/>
          </a:xfrm>
          <a:prstGeom prst="rtTriangle">
            <a:avLst/>
          </a:prstGeom>
          <a:solidFill>
            <a:srgbClr val="CCFFCC">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 name="Text Box 14"/>
          <xdr:cNvSpPr txBox="1">
            <a:spLocks noChangeArrowheads="1"/>
          </xdr:cNvSpPr>
        </xdr:nvSpPr>
        <xdr:spPr bwMode="auto">
          <a:xfrm>
            <a:off x="395" y="67"/>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60°</a:t>
            </a:r>
          </a:p>
        </xdr:txBody>
      </xdr:sp>
      <xdr:sp macro="" textlink="">
        <xdr:nvSpPr>
          <xdr:cNvPr id="14" name="Text Box 17"/>
          <xdr:cNvSpPr txBox="1">
            <a:spLocks noChangeArrowheads="1"/>
          </xdr:cNvSpPr>
        </xdr:nvSpPr>
        <xdr:spPr bwMode="auto">
          <a:xfrm>
            <a:off x="275" y="66"/>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60°</a:t>
            </a:r>
          </a:p>
        </xdr:txBody>
      </xdr:sp>
      <xdr:sp macro="" textlink="">
        <xdr:nvSpPr>
          <xdr:cNvPr id="15" name="Text Box 19"/>
          <xdr:cNvSpPr txBox="1">
            <a:spLocks noChangeArrowheads="1"/>
          </xdr:cNvSpPr>
        </xdr:nvSpPr>
        <xdr:spPr bwMode="auto">
          <a:xfrm>
            <a:off x="431" y="126"/>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30°</a:t>
            </a:r>
          </a:p>
        </xdr:txBody>
      </xdr:sp>
      <xdr:sp macro="" textlink="">
        <xdr:nvSpPr>
          <xdr:cNvPr id="16" name="Text Box 11"/>
          <xdr:cNvSpPr txBox="1">
            <a:spLocks noChangeArrowheads="1"/>
          </xdr:cNvSpPr>
        </xdr:nvSpPr>
        <xdr:spPr bwMode="auto">
          <a:xfrm>
            <a:off x="400" y="188"/>
            <a:ext cx="5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de-DE" sz="1000" b="0" i="0" u="none" strike="noStrike" baseline="0">
                <a:solidFill>
                  <a:srgbClr val="000000"/>
                </a:solidFill>
                <a:latin typeface="Arial"/>
                <a:cs typeface="Arial"/>
              </a:rPr>
              <a:t>70°</a:t>
            </a:r>
          </a:p>
        </xdr:txBody>
      </xdr:sp>
      <xdr:sp macro="" textlink="">
        <xdr:nvSpPr>
          <xdr:cNvPr id="17" name="Text Box 20"/>
          <xdr:cNvSpPr txBox="1">
            <a:spLocks noChangeArrowheads="1"/>
          </xdr:cNvSpPr>
        </xdr:nvSpPr>
        <xdr:spPr bwMode="auto">
          <a:xfrm>
            <a:off x="368" y="226"/>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20°</a:t>
            </a:r>
          </a:p>
        </xdr:txBody>
      </xdr:sp>
      <xdr:sp macro="" textlink="">
        <xdr:nvSpPr>
          <xdr:cNvPr id="18" name="Text Box 21"/>
          <xdr:cNvSpPr txBox="1">
            <a:spLocks noChangeArrowheads="1"/>
          </xdr:cNvSpPr>
        </xdr:nvSpPr>
        <xdr:spPr bwMode="auto">
          <a:xfrm>
            <a:off x="275" y="43"/>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50°</a:t>
            </a:r>
          </a:p>
        </xdr:txBody>
      </xdr:sp>
      <xdr:sp macro="" textlink="">
        <xdr:nvSpPr>
          <xdr:cNvPr id="19" name="Text Box 22"/>
          <xdr:cNvSpPr txBox="1">
            <a:spLocks noChangeArrowheads="1"/>
          </xdr:cNvSpPr>
        </xdr:nvSpPr>
        <xdr:spPr bwMode="auto">
          <a:xfrm>
            <a:off x="397" y="43"/>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50°</a:t>
            </a:r>
          </a:p>
        </xdr:txBody>
      </xdr:sp>
      <xdr:sp macro="" textlink="">
        <xdr:nvSpPr>
          <xdr:cNvPr id="20" name="Text Box 23"/>
          <xdr:cNvSpPr txBox="1">
            <a:spLocks noChangeArrowheads="1"/>
          </xdr:cNvSpPr>
        </xdr:nvSpPr>
        <xdr:spPr bwMode="auto">
          <a:xfrm>
            <a:off x="464" y="125"/>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40°</a:t>
            </a:r>
          </a:p>
        </xdr:txBody>
      </xdr:sp>
      <xdr:sp macro="" textlink="">
        <xdr:nvSpPr>
          <xdr:cNvPr id="21" name="Text Box 24"/>
          <xdr:cNvSpPr txBox="1">
            <a:spLocks noChangeArrowheads="1"/>
          </xdr:cNvSpPr>
        </xdr:nvSpPr>
        <xdr:spPr bwMode="auto">
          <a:xfrm>
            <a:off x="437" y="190"/>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50°</a:t>
            </a:r>
          </a:p>
        </xdr:txBody>
      </xdr:sp>
      <xdr:sp macro="" textlink="">
        <xdr:nvSpPr>
          <xdr:cNvPr id="22" name="Text Box 25"/>
          <xdr:cNvSpPr txBox="1">
            <a:spLocks noChangeArrowheads="1"/>
          </xdr:cNvSpPr>
        </xdr:nvSpPr>
        <xdr:spPr bwMode="auto">
          <a:xfrm>
            <a:off x="371" y="253"/>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40°</a:t>
            </a:r>
          </a:p>
        </xdr:txBody>
      </xdr:sp>
      <xdr:sp macro="" textlink="">
        <xdr:nvSpPr>
          <xdr:cNvPr id="23" name="Text Box 26"/>
          <xdr:cNvSpPr txBox="1">
            <a:spLocks noChangeArrowheads="1"/>
          </xdr:cNvSpPr>
        </xdr:nvSpPr>
        <xdr:spPr bwMode="auto">
          <a:xfrm>
            <a:off x="224" y="133"/>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n1</a:t>
            </a:r>
          </a:p>
        </xdr:txBody>
      </xdr:sp>
      <xdr:sp macro="" textlink="">
        <xdr:nvSpPr>
          <xdr:cNvPr id="24" name="Text Box 27"/>
          <xdr:cNvSpPr txBox="1">
            <a:spLocks noChangeArrowheads="1"/>
          </xdr:cNvSpPr>
        </xdr:nvSpPr>
        <xdr:spPr bwMode="auto">
          <a:xfrm>
            <a:off x="224" y="178"/>
            <a:ext cx="44"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n2</a:t>
            </a:r>
          </a:p>
        </xdr:txBody>
      </xdr:sp>
    </xdr:grpSp>
    <xdr:clientData/>
  </xdr:twoCellAnchor>
  <xdr:twoCellAnchor>
    <xdr:from>
      <xdr:col>2</xdr:col>
      <xdr:colOff>38100</xdr:colOff>
      <xdr:row>14</xdr:row>
      <xdr:rowOff>152400</xdr:rowOff>
    </xdr:from>
    <xdr:to>
      <xdr:col>7</xdr:col>
      <xdr:colOff>342900</xdr:colOff>
      <xdr:row>34</xdr:row>
      <xdr:rowOff>76200</xdr:rowOff>
    </xdr:to>
    <xdr:grpSp>
      <xdr:nvGrpSpPr>
        <xdr:cNvPr id="25" name="Group 29"/>
        <xdr:cNvGrpSpPr>
          <a:grpSpLocks/>
        </xdr:cNvGrpSpPr>
      </xdr:nvGrpSpPr>
      <xdr:grpSpPr bwMode="auto">
        <a:xfrm>
          <a:off x="2038350" y="2374900"/>
          <a:ext cx="4114800" cy="3098800"/>
          <a:chOff x="63" y="24"/>
          <a:chExt cx="432" cy="332"/>
        </a:xfrm>
      </xdr:grpSpPr>
      <xdr:grpSp>
        <xdr:nvGrpSpPr>
          <xdr:cNvPr id="26" name="Group 15"/>
          <xdr:cNvGrpSpPr>
            <a:grpSpLocks/>
          </xdr:cNvGrpSpPr>
        </xdr:nvGrpSpPr>
        <xdr:grpSpPr bwMode="auto">
          <a:xfrm>
            <a:off x="63" y="24"/>
            <a:ext cx="432" cy="332"/>
            <a:chOff x="128" y="24"/>
            <a:chExt cx="432" cy="332"/>
          </a:xfrm>
        </xdr:grpSpPr>
        <xdr:sp macro="" textlink="">
          <xdr:nvSpPr>
            <xdr:cNvPr id="28" name="Rectangle 1"/>
            <xdr:cNvSpPr>
              <a:spLocks noChangeArrowheads="1"/>
            </xdr:cNvSpPr>
          </xdr:nvSpPr>
          <xdr:spPr bwMode="auto">
            <a:xfrm>
              <a:off x="160" y="136"/>
              <a:ext cx="400" cy="220"/>
            </a:xfrm>
            <a:prstGeom prst="rect">
              <a:avLst/>
            </a:prstGeom>
            <a:solidFill>
              <a:srgbClr val="FFFFFF"/>
            </a:solidFill>
            <a:ln w="9525">
              <a:solidFill>
                <a:srgbClr val="000000"/>
              </a:solidFill>
              <a:miter lim="800000"/>
              <a:headEnd/>
              <a:tailEnd/>
            </a:ln>
          </xdr:spPr>
        </xdr:sp>
        <xdr:sp macro="" textlink="">
          <xdr:nvSpPr>
            <xdr:cNvPr id="29" name="Line 2"/>
            <xdr:cNvSpPr>
              <a:spLocks noChangeShapeType="1"/>
            </xdr:cNvSpPr>
          </xdr:nvSpPr>
          <xdr:spPr bwMode="auto">
            <a:xfrm>
              <a:off x="320" y="41"/>
              <a:ext cx="0" cy="295"/>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30" name="Rectangle 3"/>
            <xdr:cNvSpPr>
              <a:spLocks noChangeArrowheads="1"/>
            </xdr:cNvSpPr>
          </xdr:nvSpPr>
          <xdr:spPr bwMode="auto">
            <a:xfrm rot="-1792343">
              <a:off x="356" y="89"/>
              <a:ext cx="142" cy="185"/>
            </a:xfrm>
            <a:prstGeom prst="rect">
              <a:avLst/>
            </a:prstGeom>
            <a:solidFill>
              <a:srgbClr val="FFFFFF"/>
            </a:solidFill>
            <a:ln w="9525">
              <a:solidFill>
                <a:srgbClr val="000000"/>
              </a:solidFill>
              <a:miter lim="800000"/>
              <a:headEnd/>
              <a:tailEnd/>
            </a:ln>
          </xdr:spPr>
        </xdr:sp>
        <xdr:sp macro="" textlink="">
          <xdr:nvSpPr>
            <xdr:cNvPr id="31" name="Line 5"/>
            <xdr:cNvSpPr>
              <a:spLocks noChangeShapeType="1"/>
            </xdr:cNvSpPr>
          </xdr:nvSpPr>
          <xdr:spPr bwMode="auto">
            <a:xfrm>
              <a:off x="128" y="24"/>
              <a:ext cx="192" cy="111"/>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2" name="Line 6"/>
            <xdr:cNvSpPr>
              <a:spLocks noChangeShapeType="1"/>
            </xdr:cNvSpPr>
          </xdr:nvSpPr>
          <xdr:spPr bwMode="auto">
            <a:xfrm flipV="1">
              <a:off x="321" y="38"/>
              <a:ext cx="169" cy="9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Line 10"/>
            <xdr:cNvSpPr>
              <a:spLocks noChangeShapeType="1"/>
            </xdr:cNvSpPr>
          </xdr:nvSpPr>
          <xdr:spPr bwMode="auto">
            <a:xfrm>
              <a:off x="319" y="136"/>
              <a:ext cx="113" cy="199"/>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4" name="Text Box 11"/>
            <xdr:cNvSpPr txBox="1">
              <a:spLocks noChangeArrowheads="1"/>
            </xdr:cNvSpPr>
          </xdr:nvSpPr>
          <xdr:spPr bwMode="auto">
            <a:xfrm>
              <a:off x="343" y="138"/>
              <a:ext cx="58" cy="27"/>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90 Grad</a:t>
              </a:r>
            </a:p>
          </xdr:txBody>
        </xdr:sp>
        <xdr:sp macro="" textlink="">
          <xdr:nvSpPr>
            <xdr:cNvPr id="35" name="Text Box 13"/>
            <xdr:cNvSpPr txBox="1">
              <a:spLocks noChangeArrowheads="1"/>
            </xdr:cNvSpPr>
          </xdr:nvSpPr>
          <xdr:spPr bwMode="auto">
            <a:xfrm>
              <a:off x="225" y="60"/>
              <a:ext cx="87" cy="30"/>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Einfallswinkel</a:t>
              </a:r>
            </a:p>
          </xdr:txBody>
        </xdr:sp>
        <xdr:sp macro="" textlink="">
          <xdr:nvSpPr>
            <xdr:cNvPr id="36" name="Text Box 14"/>
            <xdr:cNvSpPr txBox="1">
              <a:spLocks noChangeArrowheads="1"/>
            </xdr:cNvSpPr>
          </xdr:nvSpPr>
          <xdr:spPr bwMode="auto">
            <a:xfrm>
              <a:off x="320" y="317"/>
              <a:ext cx="110" cy="31"/>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Brechungswinkel</a:t>
              </a:r>
            </a:p>
          </xdr:txBody>
        </xdr:sp>
        <xdr:sp macro="" textlink="">
          <xdr:nvSpPr>
            <xdr:cNvPr id="37" name="Text Box 13"/>
            <xdr:cNvSpPr txBox="1">
              <a:spLocks noChangeArrowheads="1"/>
            </xdr:cNvSpPr>
          </xdr:nvSpPr>
          <xdr:spPr bwMode="auto">
            <a:xfrm>
              <a:off x="328" y="60"/>
              <a:ext cx="87" cy="30"/>
            </a:xfrm>
            <a:prstGeom prst="rect">
              <a:avLst/>
            </a:prstGeom>
            <a:noFill/>
            <a:ln w="9525">
              <a:no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Ausfallswinkel</a:t>
              </a:r>
            </a:p>
          </xdr:txBody>
        </xdr:sp>
      </xdr:grpSp>
      <xdr:sp macro="" textlink="">
        <xdr:nvSpPr>
          <xdr:cNvPr id="27" name="AutoShape 17"/>
          <xdr:cNvSpPr>
            <a:spLocks noChangeArrowheads="1"/>
          </xdr:cNvSpPr>
        </xdr:nvSpPr>
        <xdr:spPr bwMode="auto">
          <a:xfrm rot="5400000" flipH="1">
            <a:off x="211" y="189"/>
            <a:ext cx="205" cy="118"/>
          </a:xfrm>
          <a:prstGeom prst="rtTriangle">
            <a:avLst/>
          </a:prstGeom>
          <a:solidFill>
            <a:srgbClr val="CCFFCC">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9</xdr:col>
      <xdr:colOff>361950</xdr:colOff>
      <xdr:row>45</xdr:row>
      <xdr:rowOff>76200</xdr:rowOff>
    </xdr:from>
    <xdr:to>
      <xdr:col>11</xdr:col>
      <xdr:colOff>523875</xdr:colOff>
      <xdr:row>49</xdr:row>
      <xdr:rowOff>85725</xdr:rowOff>
    </xdr:to>
    <xdr:sp macro="" textlink="">
      <xdr:nvSpPr>
        <xdr:cNvPr id="38" name="Text Box 42"/>
        <xdr:cNvSpPr txBox="1">
          <a:spLocks noChangeArrowheads="1"/>
        </xdr:cNvSpPr>
      </xdr:nvSpPr>
      <xdr:spPr bwMode="auto">
        <a:xfrm>
          <a:off x="7696200" y="6229350"/>
          <a:ext cx="1685925" cy="6572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sin(90° - alpha) = cos(alpha)</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cos(90° - alpha) = sin(alpha)</a:t>
          </a:r>
        </a:p>
      </xdr:txBody>
    </xdr:sp>
    <xdr:clientData/>
  </xdr:twoCellAnchor>
  <xdr:twoCellAnchor>
    <xdr:from>
      <xdr:col>8</xdr:col>
      <xdr:colOff>523875</xdr:colOff>
      <xdr:row>50</xdr:row>
      <xdr:rowOff>66675</xdr:rowOff>
    </xdr:from>
    <xdr:to>
      <xdr:col>13</xdr:col>
      <xdr:colOff>0</xdr:colOff>
      <xdr:row>67</xdr:row>
      <xdr:rowOff>114300</xdr:rowOff>
    </xdr:to>
    <xdr:grpSp>
      <xdr:nvGrpSpPr>
        <xdr:cNvPr id="39" name="Group 59"/>
        <xdr:cNvGrpSpPr>
          <a:grpSpLocks/>
        </xdr:cNvGrpSpPr>
      </xdr:nvGrpSpPr>
      <xdr:grpSpPr bwMode="auto">
        <a:xfrm>
          <a:off x="7096125" y="8004175"/>
          <a:ext cx="3286125" cy="2746375"/>
          <a:chOff x="697" y="546"/>
          <a:chExt cx="345" cy="294"/>
        </a:xfrm>
      </xdr:grpSpPr>
      <xdr:grpSp>
        <xdr:nvGrpSpPr>
          <xdr:cNvPr id="40" name="Group 45"/>
          <xdr:cNvGrpSpPr>
            <a:grpSpLocks/>
          </xdr:cNvGrpSpPr>
        </xdr:nvGrpSpPr>
        <xdr:grpSpPr bwMode="auto">
          <a:xfrm>
            <a:off x="699" y="577"/>
            <a:ext cx="277" cy="228"/>
            <a:chOff x="699" y="577"/>
            <a:chExt cx="277" cy="228"/>
          </a:xfrm>
        </xdr:grpSpPr>
        <xdr:sp macro="" textlink="">
          <xdr:nvSpPr>
            <xdr:cNvPr id="52" name="Rectangle 43"/>
            <xdr:cNvSpPr>
              <a:spLocks noChangeArrowheads="1"/>
            </xdr:cNvSpPr>
          </xdr:nvSpPr>
          <xdr:spPr bwMode="auto">
            <a:xfrm>
              <a:off x="699" y="577"/>
              <a:ext cx="277" cy="22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 name="Line 44"/>
            <xdr:cNvSpPr>
              <a:spLocks noChangeShapeType="1"/>
            </xdr:cNvSpPr>
          </xdr:nvSpPr>
          <xdr:spPr bwMode="auto">
            <a:xfrm flipV="1">
              <a:off x="699" y="577"/>
              <a:ext cx="277" cy="2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1" name="Text Box 46"/>
          <xdr:cNvSpPr txBox="1">
            <a:spLocks noChangeArrowheads="1"/>
          </xdr:cNvSpPr>
        </xdr:nvSpPr>
        <xdr:spPr bwMode="auto">
          <a:xfrm>
            <a:off x="744" y="773"/>
            <a:ext cx="48"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Alpha</a:t>
            </a:r>
          </a:p>
        </xdr:txBody>
      </xdr:sp>
      <xdr:sp macro="" textlink="">
        <xdr:nvSpPr>
          <xdr:cNvPr id="42" name="Line 47"/>
          <xdr:cNvSpPr>
            <a:spLocks noChangeShapeType="1"/>
          </xdr:cNvSpPr>
        </xdr:nvSpPr>
        <xdr:spPr bwMode="auto">
          <a:xfrm>
            <a:off x="979" y="579"/>
            <a:ext cx="0" cy="226"/>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 name="Line 48"/>
          <xdr:cNvSpPr>
            <a:spLocks noChangeShapeType="1"/>
          </xdr:cNvSpPr>
        </xdr:nvSpPr>
        <xdr:spPr bwMode="auto">
          <a:xfrm flipH="1">
            <a:off x="699" y="580"/>
            <a:ext cx="277" cy="228"/>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 name="Text Box 49"/>
          <xdr:cNvSpPr txBox="1">
            <a:spLocks noChangeArrowheads="1"/>
          </xdr:cNvSpPr>
        </xdr:nvSpPr>
        <xdr:spPr bwMode="auto">
          <a:xfrm>
            <a:off x="994" y="671"/>
            <a:ext cx="48"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GK</a:t>
            </a:r>
          </a:p>
        </xdr:txBody>
      </xdr:sp>
      <xdr:sp macro="" textlink="">
        <xdr:nvSpPr>
          <xdr:cNvPr id="45" name="Text Box 50"/>
          <xdr:cNvSpPr txBox="1">
            <a:spLocks noChangeArrowheads="1"/>
          </xdr:cNvSpPr>
        </xdr:nvSpPr>
        <xdr:spPr bwMode="auto">
          <a:xfrm>
            <a:off x="794" y="679"/>
            <a:ext cx="48"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HYP</a:t>
            </a:r>
          </a:p>
        </xdr:txBody>
      </xdr:sp>
      <xdr:sp macro="" textlink="">
        <xdr:nvSpPr>
          <xdr:cNvPr id="46" name="Text Box 51"/>
          <xdr:cNvSpPr txBox="1">
            <a:spLocks noChangeArrowheads="1"/>
          </xdr:cNvSpPr>
        </xdr:nvSpPr>
        <xdr:spPr bwMode="auto">
          <a:xfrm>
            <a:off x="700" y="726"/>
            <a:ext cx="76"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90 - Alpha</a:t>
            </a:r>
          </a:p>
        </xdr:txBody>
      </xdr:sp>
      <xdr:sp macro="" textlink="">
        <xdr:nvSpPr>
          <xdr:cNvPr id="47" name="Line 52"/>
          <xdr:cNvSpPr>
            <a:spLocks noChangeShapeType="1"/>
          </xdr:cNvSpPr>
        </xdr:nvSpPr>
        <xdr:spPr bwMode="auto">
          <a:xfrm flipH="1">
            <a:off x="697" y="576"/>
            <a:ext cx="277" cy="230"/>
          </a:xfrm>
          <a:prstGeom prst="line">
            <a:avLst/>
          </a:prstGeom>
          <a:noFill/>
          <a:ln w="28575">
            <a:solidFill>
              <a:srgbClr xmlns:mc="http://schemas.openxmlformats.org/markup-compatibility/2006" xmlns:a14="http://schemas.microsoft.com/office/drawing/2010/main" val="339966" mc:Ignorable="a14" a14:legacySpreadsheetColorIndex="5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 name="Line 54"/>
          <xdr:cNvSpPr>
            <a:spLocks noChangeShapeType="1"/>
          </xdr:cNvSpPr>
        </xdr:nvSpPr>
        <xdr:spPr bwMode="auto">
          <a:xfrm flipH="1">
            <a:off x="699" y="575"/>
            <a:ext cx="277" cy="0"/>
          </a:xfrm>
          <a:prstGeom prst="line">
            <a:avLst/>
          </a:prstGeom>
          <a:noFill/>
          <a:ln w="28575">
            <a:solidFill>
              <a:srgbClr xmlns:mc="http://schemas.openxmlformats.org/markup-compatibility/2006" xmlns:a14="http://schemas.microsoft.com/office/drawing/2010/main" val="339966" mc:Ignorable="a14" a14:legacySpreadsheetColorIndex="5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Line 56"/>
          <xdr:cNvSpPr>
            <a:spLocks noChangeShapeType="1"/>
          </xdr:cNvSpPr>
        </xdr:nvSpPr>
        <xdr:spPr bwMode="auto">
          <a:xfrm flipH="1">
            <a:off x="700" y="807"/>
            <a:ext cx="277"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Text Box 57"/>
          <xdr:cNvSpPr txBox="1">
            <a:spLocks noChangeArrowheads="1"/>
          </xdr:cNvSpPr>
        </xdr:nvSpPr>
        <xdr:spPr bwMode="auto">
          <a:xfrm>
            <a:off x="811" y="814"/>
            <a:ext cx="48"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AK</a:t>
            </a:r>
          </a:p>
        </xdr:txBody>
      </xdr:sp>
      <xdr:sp macro="" textlink="">
        <xdr:nvSpPr>
          <xdr:cNvPr id="51" name="Text Box 58"/>
          <xdr:cNvSpPr txBox="1">
            <a:spLocks noChangeArrowheads="1"/>
          </xdr:cNvSpPr>
        </xdr:nvSpPr>
        <xdr:spPr bwMode="auto">
          <a:xfrm>
            <a:off x="809" y="546"/>
            <a:ext cx="72"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FF0000"/>
                </a:solidFill>
                <a:latin typeface="Arial"/>
                <a:cs typeface="Arial"/>
              </a:rPr>
              <a:t>AK</a:t>
            </a:r>
            <a:r>
              <a:rPr lang="de-DE" sz="1000" b="0" i="0" u="none" strike="noStrike" baseline="0">
                <a:solidFill>
                  <a:srgbClr val="000000"/>
                </a:solidFill>
                <a:latin typeface="Arial"/>
                <a:cs typeface="Arial"/>
              </a:rPr>
              <a:t> = </a:t>
            </a:r>
            <a:r>
              <a:rPr lang="de-DE" sz="1000" b="0" i="0" u="none" strike="noStrike" baseline="0">
                <a:solidFill>
                  <a:srgbClr val="339966"/>
                </a:solidFill>
                <a:latin typeface="Arial"/>
                <a:cs typeface="Arial"/>
              </a:rPr>
              <a:t>GK</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180975</xdr:colOff>
      <xdr:row>29</xdr:row>
      <xdr:rowOff>95250</xdr:rowOff>
    </xdr:from>
    <xdr:to>
      <xdr:col>14</xdr:col>
      <xdr:colOff>342900</xdr:colOff>
      <xdr:row>55</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214312</xdr:colOff>
      <xdr:row>8</xdr:row>
      <xdr:rowOff>138472</xdr:rowOff>
    </xdr:from>
    <xdr:to>
      <xdr:col>7</xdr:col>
      <xdr:colOff>639762</xdr:colOff>
      <xdr:row>16</xdr:row>
      <xdr:rowOff>28575</xdr:rowOff>
    </xdr:to>
    <xdr:grpSp>
      <xdr:nvGrpSpPr>
        <xdr:cNvPr id="2" name="Gruppieren 6"/>
        <xdr:cNvGrpSpPr>
          <a:grpSpLocks/>
        </xdr:cNvGrpSpPr>
      </xdr:nvGrpSpPr>
      <xdr:grpSpPr bwMode="auto">
        <a:xfrm>
          <a:off x="5176837" y="1433872"/>
          <a:ext cx="1187450" cy="1185503"/>
          <a:chOff x="5105400" y="438150"/>
          <a:chExt cx="2495550" cy="2495550"/>
        </a:xfrm>
      </xdr:grpSpPr>
      <xdr:sp macro="" textlink="">
        <xdr:nvSpPr>
          <xdr:cNvPr id="3" name="Ellipse 1"/>
          <xdr:cNvSpPr>
            <a:spLocks noChangeArrowheads="1"/>
          </xdr:cNvSpPr>
        </xdr:nvSpPr>
        <xdr:spPr bwMode="auto">
          <a:xfrm>
            <a:off x="5105400" y="438150"/>
            <a:ext cx="2495550" cy="2495550"/>
          </a:xfrm>
          <a:prstGeom prst="ellipse">
            <a:avLst/>
          </a:prstGeom>
          <a:solidFill>
            <a:srgbClr val="FFFFFF"/>
          </a:solidFill>
          <a:ln w="9525" algn="ctr">
            <a:solidFill>
              <a:srgbClr val="000000"/>
            </a:solidFill>
            <a:round/>
            <a:headEnd/>
            <a:tailEnd/>
          </a:ln>
        </xdr:spPr>
      </xdr:sp>
      <xdr:cxnSp macro="">
        <xdr:nvCxnSpPr>
          <xdr:cNvPr id="4" name="Gerade Verbindung 3"/>
          <xdr:cNvCxnSpPr>
            <a:cxnSpLocks noChangeShapeType="1"/>
          </xdr:cNvCxnSpPr>
        </xdr:nvCxnSpPr>
        <xdr:spPr bwMode="auto">
          <a:xfrm flipV="1">
            <a:off x="6362700" y="504825"/>
            <a:ext cx="390525" cy="12096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5" name="Gerade Verbindung 5"/>
          <xdr:cNvCxnSpPr>
            <a:cxnSpLocks noChangeShapeType="1"/>
          </xdr:cNvCxnSpPr>
        </xdr:nvCxnSpPr>
        <xdr:spPr bwMode="auto">
          <a:xfrm flipV="1">
            <a:off x="6353175" y="1190625"/>
            <a:ext cx="1143000" cy="5429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xdr:col>
      <xdr:colOff>803275</xdr:colOff>
      <xdr:row>43</xdr:row>
      <xdr:rowOff>30163</xdr:rowOff>
    </xdr:from>
    <xdr:to>
      <xdr:col>5</xdr:col>
      <xdr:colOff>722313</xdr:colOff>
      <xdr:row>52</xdr:row>
      <xdr:rowOff>55563</xdr:rowOff>
    </xdr:to>
    <xdr:sp macro="" textlink="">
      <xdr:nvSpPr>
        <xdr:cNvPr id="6" name="Kreis 5"/>
        <xdr:cNvSpPr/>
      </xdr:nvSpPr>
      <xdr:spPr bwMode="auto">
        <a:xfrm>
          <a:off x="4117975" y="7640638"/>
          <a:ext cx="1747838" cy="1482725"/>
        </a:xfrm>
        <a:prstGeom prst="pie">
          <a:avLst>
            <a:gd name="adj1" fmla="val 12712980"/>
            <a:gd name="adj2" fmla="val 1620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endParaRPr lang="de-DE"/>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603250</xdr:colOff>
      <xdr:row>80</xdr:row>
      <xdr:rowOff>106892</xdr:rowOff>
    </xdr:from>
    <xdr:to>
      <xdr:col>2</xdr:col>
      <xdr:colOff>406400</xdr:colOff>
      <xdr:row>97</xdr:row>
      <xdr:rowOff>97366</xdr:rowOff>
    </xdr:to>
    <xdr:grpSp>
      <xdr:nvGrpSpPr>
        <xdr:cNvPr id="72" name="Gruppieren 71"/>
        <xdr:cNvGrpSpPr/>
      </xdr:nvGrpSpPr>
      <xdr:grpSpPr>
        <a:xfrm>
          <a:off x="1365250" y="13337117"/>
          <a:ext cx="2746375" cy="2743199"/>
          <a:chOff x="5121275" y="12446000"/>
          <a:chExt cx="2745317" cy="2779183"/>
        </a:xfrm>
      </xdr:grpSpPr>
      <xdr:grpSp>
        <xdr:nvGrpSpPr>
          <xdr:cNvPr id="69" name="Gruppieren 68"/>
          <xdr:cNvGrpSpPr/>
        </xdr:nvGrpSpPr>
        <xdr:grpSpPr>
          <a:xfrm>
            <a:off x="5121275" y="12446000"/>
            <a:ext cx="2745317" cy="2779183"/>
            <a:chOff x="5121275" y="12446000"/>
            <a:chExt cx="2745317" cy="2779183"/>
          </a:xfrm>
        </xdr:grpSpPr>
        <xdr:grpSp>
          <xdr:nvGrpSpPr>
            <xdr:cNvPr id="55" name="Gruppieren 54"/>
            <xdr:cNvGrpSpPr/>
          </xdr:nvGrpSpPr>
          <xdr:grpSpPr>
            <a:xfrm>
              <a:off x="5121275" y="12446000"/>
              <a:ext cx="2745317" cy="2779183"/>
              <a:chOff x="5124450" y="12306300"/>
              <a:chExt cx="2743200" cy="2743200"/>
            </a:xfrm>
          </xdr:grpSpPr>
          <xdr:grpSp>
            <xdr:nvGrpSpPr>
              <xdr:cNvPr id="53" name="Gruppieren 52"/>
              <xdr:cNvGrpSpPr/>
            </xdr:nvGrpSpPr>
            <xdr:grpSpPr>
              <a:xfrm>
                <a:off x="5124450" y="12306300"/>
                <a:ext cx="2743200" cy="2743200"/>
                <a:chOff x="5124450" y="12306300"/>
                <a:chExt cx="2743200" cy="2743200"/>
              </a:xfrm>
            </xdr:grpSpPr>
            <xdr:grpSp>
              <xdr:nvGrpSpPr>
                <xdr:cNvPr id="40" name="Gruppieren 39"/>
                <xdr:cNvGrpSpPr/>
              </xdr:nvGrpSpPr>
              <xdr:grpSpPr>
                <a:xfrm>
                  <a:off x="5124450" y="12306300"/>
                  <a:ext cx="2743200" cy="2714625"/>
                  <a:chOff x="5124450" y="12306300"/>
                  <a:chExt cx="2743200" cy="2714625"/>
                </a:xfrm>
              </xdr:grpSpPr>
              <xdr:sp macro="" textlink="">
                <xdr:nvSpPr>
                  <xdr:cNvPr id="38" name="Rechteck 37"/>
                  <xdr:cNvSpPr/>
                </xdr:nvSpPr>
                <xdr:spPr>
                  <a:xfrm>
                    <a:off x="5124450" y="13658850"/>
                    <a:ext cx="2743200" cy="1362075"/>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de-DE" sz="1100"/>
                  </a:p>
                </xdr:txBody>
              </xdr:sp>
              <xdr:sp macro="" textlink="">
                <xdr:nvSpPr>
                  <xdr:cNvPr id="39" name="Rechteck 38"/>
                  <xdr:cNvSpPr/>
                </xdr:nvSpPr>
                <xdr:spPr>
                  <a:xfrm>
                    <a:off x="5124450" y="12306300"/>
                    <a:ext cx="2743200" cy="136207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de-DE" sz="1100"/>
                  </a:p>
                </xdr:txBody>
              </xdr:sp>
            </xdr:grpSp>
            <xdr:cxnSp macro="">
              <xdr:nvCxnSpPr>
                <xdr:cNvPr id="42" name="Gerade Verbindung mit Pfeil 41"/>
                <xdr:cNvCxnSpPr>
                  <a:endCxn id="39" idx="2"/>
                </xdr:cNvCxnSpPr>
              </xdr:nvCxnSpPr>
              <xdr:spPr>
                <a:xfrm>
                  <a:off x="5276850" y="12325350"/>
                  <a:ext cx="1219200" cy="1343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44" name="Gerade Verbindung mit Pfeil 43"/>
                <xdr:cNvCxnSpPr>
                  <a:stCxn id="39" idx="2"/>
                </xdr:cNvCxnSpPr>
              </xdr:nvCxnSpPr>
              <xdr:spPr>
                <a:xfrm>
                  <a:off x="6496050" y="13668375"/>
                  <a:ext cx="657225" cy="1381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47" name="Gerade Verbindung 46"/>
                <xdr:cNvCxnSpPr>
                  <a:stCxn id="39" idx="0"/>
                  <a:endCxn id="38" idx="2"/>
                </xdr:cNvCxnSpPr>
              </xdr:nvCxnSpPr>
              <xdr:spPr>
                <a:xfrm>
                  <a:off x="6496050" y="12306300"/>
                  <a:ext cx="0" cy="2714625"/>
                </a:xfrm>
                <a:prstGeom prst="line">
                  <a:avLst/>
                </a:prstGeom>
                <a:ln>
                  <a:prstDash val="dashDot"/>
                </a:ln>
              </xdr:spPr>
              <xdr:style>
                <a:lnRef idx="1">
                  <a:schemeClr val="accent3"/>
                </a:lnRef>
                <a:fillRef idx="0">
                  <a:schemeClr val="accent3"/>
                </a:fillRef>
                <a:effectRef idx="0">
                  <a:schemeClr val="accent3"/>
                </a:effectRef>
                <a:fontRef idx="minor">
                  <a:schemeClr val="tx1"/>
                </a:fontRef>
              </xdr:style>
            </xdr:cxnSp>
          </xdr:grpSp>
          <xdr:sp macro="" textlink="">
            <xdr:nvSpPr>
              <xdr:cNvPr id="54" name="Ellipse 53"/>
              <xdr:cNvSpPr/>
            </xdr:nvSpPr>
            <xdr:spPr>
              <a:xfrm>
                <a:off x="5276849" y="12449175"/>
                <a:ext cx="2447925" cy="2447925"/>
              </a:xfrm>
              <a:prstGeom prst="ellipse">
                <a:avLst/>
              </a:prstGeom>
              <a:no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9" name="Gerade Verbindung 58"/>
            <xdr:cNvCxnSpPr/>
          </xdr:nvCxnSpPr>
          <xdr:spPr>
            <a:xfrm>
              <a:off x="5688542" y="12922250"/>
              <a:ext cx="809625" cy="0"/>
            </a:xfrm>
            <a:prstGeom prst="line">
              <a:avLst/>
            </a:prstGeom>
          </xdr:spPr>
          <xdr:style>
            <a:lnRef idx="2">
              <a:schemeClr val="accent2"/>
            </a:lnRef>
            <a:fillRef idx="0">
              <a:schemeClr val="accent2"/>
            </a:fillRef>
            <a:effectRef idx="1">
              <a:schemeClr val="accent2"/>
            </a:effectRef>
            <a:fontRef idx="minor">
              <a:schemeClr val="tx1"/>
            </a:fontRef>
          </xdr:style>
        </xdr:cxnSp>
        <xdr:cxnSp macro="">
          <xdr:nvCxnSpPr>
            <xdr:cNvPr id="61" name="Gerade Verbindung 60"/>
            <xdr:cNvCxnSpPr/>
          </xdr:nvCxnSpPr>
          <xdr:spPr>
            <a:xfrm flipH="1">
              <a:off x="6498167" y="14948958"/>
              <a:ext cx="523875" cy="0"/>
            </a:xfrm>
            <a:prstGeom prst="line">
              <a:avLst/>
            </a:prstGeom>
          </xdr:spPr>
          <xdr:style>
            <a:lnRef idx="2">
              <a:schemeClr val="accent2"/>
            </a:lnRef>
            <a:fillRef idx="0">
              <a:schemeClr val="accent2"/>
            </a:fillRef>
            <a:effectRef idx="1">
              <a:schemeClr val="accent2"/>
            </a:effectRef>
            <a:fontRef idx="minor">
              <a:schemeClr val="tx1"/>
            </a:fontRef>
          </xdr:style>
        </xdr:cxnSp>
        <xdr:sp macro="" textlink="">
          <xdr:nvSpPr>
            <xdr:cNvPr id="62" name="Textfeld 61"/>
            <xdr:cNvSpPr txBox="1"/>
          </xdr:nvSpPr>
          <xdr:spPr>
            <a:xfrm>
              <a:off x="6217710" y="13287376"/>
              <a:ext cx="254000" cy="28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100"/>
                <a:t>α</a:t>
              </a:r>
              <a:endParaRPr lang="de-DE" sz="1100"/>
            </a:p>
          </xdr:txBody>
        </xdr:sp>
        <xdr:sp macro="" textlink="">
          <xdr:nvSpPr>
            <xdr:cNvPr id="63" name="Textfeld 62"/>
            <xdr:cNvSpPr txBox="1"/>
          </xdr:nvSpPr>
          <xdr:spPr>
            <a:xfrm>
              <a:off x="6475943" y="14185901"/>
              <a:ext cx="254000" cy="28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100"/>
                <a:t>β</a:t>
              </a:r>
              <a:endParaRPr lang="de-DE" sz="1100"/>
            </a:p>
          </xdr:txBody>
        </xdr:sp>
        <xdr:sp macro="" textlink="">
          <xdr:nvSpPr>
            <xdr:cNvPr id="64" name="Textfeld 63"/>
            <xdr:cNvSpPr txBox="1"/>
          </xdr:nvSpPr>
          <xdr:spPr>
            <a:xfrm>
              <a:off x="5826126" y="13197418"/>
              <a:ext cx="2880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a:t>1 </a:t>
              </a:r>
            </a:p>
          </xdr:txBody>
        </xdr:sp>
        <xdr:sp macro="" textlink="">
          <xdr:nvSpPr>
            <xdr:cNvPr id="66" name="Textfeld 65"/>
            <xdr:cNvSpPr txBox="1"/>
          </xdr:nvSpPr>
          <xdr:spPr>
            <a:xfrm>
              <a:off x="5931959" y="12864040"/>
              <a:ext cx="508000" cy="28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sin </a:t>
              </a:r>
              <a:r>
                <a:rPr lang="el-GR" sz="1100"/>
                <a:t>α</a:t>
              </a:r>
              <a:endParaRPr lang="de-DE">
                <a:effectLst/>
              </a:endParaRPr>
            </a:p>
            <a:p>
              <a:endParaRPr lang="de-DE" sz="1100"/>
            </a:p>
          </xdr:txBody>
        </xdr:sp>
        <xdr:sp macro="" textlink="">
          <xdr:nvSpPr>
            <xdr:cNvPr id="67" name="Textfeld 66"/>
            <xdr:cNvSpPr txBox="1"/>
          </xdr:nvSpPr>
          <xdr:spPr>
            <a:xfrm>
              <a:off x="6497112" y="14736234"/>
              <a:ext cx="466725" cy="28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sin</a:t>
              </a:r>
              <a:r>
                <a:rPr lang="de-DE" sz="1100" baseline="0">
                  <a:solidFill>
                    <a:schemeClr val="dk1"/>
                  </a:solidFill>
                  <a:effectLst/>
                  <a:latin typeface="+mn-lt"/>
                  <a:ea typeface="+mn-ea"/>
                  <a:cs typeface="+mn-cs"/>
                </a:rPr>
                <a:t> </a:t>
              </a:r>
              <a:r>
                <a:rPr lang="el-GR" sz="1100">
                  <a:solidFill>
                    <a:schemeClr val="dk1"/>
                  </a:solidFill>
                  <a:effectLst/>
                  <a:latin typeface="+mn-lt"/>
                  <a:ea typeface="+mn-ea"/>
                  <a:cs typeface="+mn-cs"/>
                </a:rPr>
                <a:t>β</a:t>
              </a:r>
              <a:endParaRPr lang="de-DE">
                <a:effectLst/>
              </a:endParaRPr>
            </a:p>
            <a:p>
              <a:endParaRPr lang="de-DE" sz="1100"/>
            </a:p>
          </xdr:txBody>
        </xdr:sp>
        <xdr:sp macro="" textlink="">
          <xdr:nvSpPr>
            <xdr:cNvPr id="68" name="Textfeld 67"/>
            <xdr:cNvSpPr txBox="1"/>
          </xdr:nvSpPr>
          <xdr:spPr>
            <a:xfrm>
              <a:off x="6788150" y="14402856"/>
              <a:ext cx="2880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a:t>1 </a:t>
              </a:r>
            </a:p>
          </xdr:txBody>
        </xdr:sp>
      </xdr:grpSp>
      <xdr:sp macro="" textlink="">
        <xdr:nvSpPr>
          <xdr:cNvPr id="70" name="Textfeld 69"/>
          <xdr:cNvSpPr txBox="1"/>
        </xdr:nvSpPr>
        <xdr:spPr>
          <a:xfrm>
            <a:off x="5349875" y="13620750"/>
            <a:ext cx="851130"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700"/>
              <a:t>Brechungsindex</a:t>
            </a:r>
            <a:r>
              <a:rPr lang="de-DE" sz="700" baseline="0"/>
              <a:t> </a:t>
            </a:r>
            <a:r>
              <a:rPr lang="de-DE" sz="700"/>
              <a:t>1 </a:t>
            </a:r>
          </a:p>
        </xdr:txBody>
      </xdr:sp>
      <xdr:sp macro="" textlink="">
        <xdr:nvSpPr>
          <xdr:cNvPr id="71" name="Textfeld 70"/>
          <xdr:cNvSpPr txBox="1"/>
        </xdr:nvSpPr>
        <xdr:spPr>
          <a:xfrm>
            <a:off x="5348813" y="13878984"/>
            <a:ext cx="851130"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700"/>
              <a:t>Brechungsindex</a:t>
            </a:r>
            <a:r>
              <a:rPr lang="de-DE" sz="700" baseline="0"/>
              <a:t> 2</a:t>
            </a:r>
            <a:r>
              <a:rPr lang="de-DE" sz="700"/>
              <a:t> </a:t>
            </a:r>
          </a:p>
        </xdr:txBody>
      </xdr:sp>
    </xdr:grpSp>
    <xdr:clientData/>
  </xdr:twoCellAnchor>
  <xdr:twoCellAnchor>
    <xdr:from>
      <xdr:col>3</xdr:col>
      <xdr:colOff>314325</xdr:colOff>
      <xdr:row>102</xdr:row>
      <xdr:rowOff>57150</xdr:rowOff>
    </xdr:from>
    <xdr:to>
      <xdr:col>7</xdr:col>
      <xdr:colOff>84044</xdr:colOff>
      <xdr:row>125</xdr:row>
      <xdr:rowOff>136712</xdr:rowOff>
    </xdr:to>
    <xdr:grpSp>
      <xdr:nvGrpSpPr>
        <xdr:cNvPr id="74" name="Gruppieren 73"/>
        <xdr:cNvGrpSpPr/>
      </xdr:nvGrpSpPr>
      <xdr:grpSpPr>
        <a:xfrm>
          <a:off x="5334000" y="16849725"/>
          <a:ext cx="3455894" cy="3803837"/>
          <a:chOff x="3911974" y="8449235"/>
          <a:chExt cx="3455894" cy="3803837"/>
        </a:xfrm>
      </xdr:grpSpPr>
      <xdr:sp macro="" textlink="">
        <xdr:nvSpPr>
          <xdr:cNvPr id="75" name="Rectangle 4"/>
          <xdr:cNvSpPr>
            <a:spLocks noChangeArrowheads="1"/>
          </xdr:cNvSpPr>
        </xdr:nvSpPr>
        <xdr:spPr bwMode="auto">
          <a:xfrm rot="-1698045">
            <a:off x="4681257" y="9232526"/>
            <a:ext cx="1810311" cy="54516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5"/>
          <xdr:cNvSpPr>
            <a:spLocks noChangeShapeType="1"/>
          </xdr:cNvSpPr>
        </xdr:nvSpPr>
        <xdr:spPr bwMode="auto">
          <a:xfrm>
            <a:off x="4938432" y="8544485"/>
            <a:ext cx="1381686" cy="2437280"/>
          </a:xfrm>
          <a:prstGeom prst="line">
            <a:avLst/>
          </a:prstGeom>
          <a:noFill/>
          <a:ln w="9525">
            <a:solidFill>
              <a:srgbClr xmlns:mc="http://schemas.openxmlformats.org/markup-compatibility/2006" xmlns:a14="http://schemas.microsoft.com/office/drawing/2010/main" val="FF00FF" mc:Ignorable="a14" a14:legacySpreadsheetColorIndex="14"/>
            </a:solidFill>
            <a:prstDash val="dash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
          <xdr:cNvSpPr>
            <a:spLocks noChangeShapeType="1"/>
          </xdr:cNvSpPr>
        </xdr:nvSpPr>
        <xdr:spPr bwMode="auto">
          <a:xfrm>
            <a:off x="3911974" y="8745071"/>
            <a:ext cx="1464608" cy="56421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9"/>
          <xdr:cNvSpPr>
            <a:spLocks noChangeShapeType="1"/>
          </xdr:cNvSpPr>
        </xdr:nvSpPr>
        <xdr:spPr bwMode="auto">
          <a:xfrm>
            <a:off x="5367057" y="9299762"/>
            <a:ext cx="429186" cy="38212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Text Box 10"/>
          <xdr:cNvSpPr txBox="1">
            <a:spLocks noChangeArrowheads="1"/>
          </xdr:cNvSpPr>
        </xdr:nvSpPr>
        <xdr:spPr bwMode="auto">
          <a:xfrm>
            <a:off x="5815293" y="9184901"/>
            <a:ext cx="990600" cy="29639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n2 = 1,52</a:t>
            </a:r>
          </a:p>
        </xdr:txBody>
      </xdr:sp>
      <xdr:sp macro="" textlink="">
        <xdr:nvSpPr>
          <xdr:cNvPr id="80" name="Text Box 11"/>
          <xdr:cNvSpPr txBox="1">
            <a:spLocks noChangeArrowheads="1"/>
          </xdr:cNvSpPr>
        </xdr:nvSpPr>
        <xdr:spPr bwMode="auto">
          <a:xfrm>
            <a:off x="5319432" y="8449235"/>
            <a:ext cx="876861" cy="28631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6800" rIns="90000" bIns="46800" anchor="t" upright="1"/>
          <a:lstStyle/>
          <a:p>
            <a:pPr algn="l" rtl="0">
              <a:defRPr sz="1000"/>
            </a:pPr>
            <a:r>
              <a:rPr lang="de-DE" sz="1000" b="0" i="0" u="none" strike="noStrike" baseline="0">
                <a:solidFill>
                  <a:srgbClr val="000000"/>
                </a:solidFill>
                <a:latin typeface="Arial"/>
                <a:cs typeface="Arial"/>
              </a:rPr>
              <a:t>n1 = 1,33</a:t>
            </a:r>
          </a:p>
        </xdr:txBody>
      </xdr:sp>
      <xdr:sp macro="" textlink="">
        <xdr:nvSpPr>
          <xdr:cNvPr id="81" name="Arc 16"/>
          <xdr:cNvSpPr>
            <a:spLocks/>
          </xdr:cNvSpPr>
        </xdr:nvSpPr>
        <xdr:spPr bwMode="auto">
          <a:xfrm flipH="1">
            <a:off x="4805082" y="8793256"/>
            <a:ext cx="257175" cy="28631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57150">
            <a:solidFill>
              <a:srgbClr xmlns:mc="http://schemas.openxmlformats.org/markup-compatibility/2006" xmlns:a14="http://schemas.microsoft.com/office/drawing/2010/main" val="00CCFF" mc:Ignorable="a14" a14:legacySpreadsheetColorIndex="4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18"/>
          <xdr:cNvSpPr txBox="1">
            <a:spLocks noChangeArrowheads="1"/>
          </xdr:cNvSpPr>
        </xdr:nvSpPr>
        <xdr:spPr bwMode="auto">
          <a:xfrm>
            <a:off x="4681257" y="9653307"/>
            <a:ext cx="953061" cy="17201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339966"/>
                </a:solidFill>
                <a:latin typeface="Arial"/>
                <a:cs typeface="Arial"/>
              </a:rPr>
              <a:t>Brechungswinkel 1</a:t>
            </a:r>
          </a:p>
        </xdr:txBody>
      </xdr:sp>
      <xdr:sp macro="" textlink="">
        <xdr:nvSpPr>
          <xdr:cNvPr id="83" name="Text Box 20"/>
          <xdr:cNvSpPr txBox="1">
            <a:spLocks noChangeArrowheads="1"/>
          </xdr:cNvSpPr>
        </xdr:nvSpPr>
        <xdr:spPr bwMode="auto">
          <a:xfrm>
            <a:off x="5100357" y="8697446"/>
            <a:ext cx="848286" cy="1720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00CCFF"/>
                </a:solidFill>
                <a:latin typeface="Arial"/>
                <a:cs typeface="Arial"/>
              </a:rPr>
              <a:t>Einfallswinkel 1</a:t>
            </a:r>
          </a:p>
        </xdr:txBody>
      </xdr:sp>
      <xdr:sp macro="" textlink="">
        <xdr:nvSpPr>
          <xdr:cNvPr id="84" name="Arc 22"/>
          <xdr:cNvSpPr>
            <a:spLocks/>
          </xdr:cNvSpPr>
        </xdr:nvSpPr>
        <xdr:spPr bwMode="auto">
          <a:xfrm rot="1751849" flipV="1">
            <a:off x="5491443" y="9557497"/>
            <a:ext cx="200025" cy="124385"/>
          </a:xfrm>
          <a:custGeom>
            <a:avLst/>
            <a:gdLst>
              <a:gd name="T0" fmla="*/ 2147483647 w 21600"/>
              <a:gd name="T1" fmla="*/ 0 h 15952"/>
              <a:gd name="T2" fmla="*/ 2147483647 w 21600"/>
              <a:gd name="T3" fmla="*/ 2147483647 h 15952"/>
              <a:gd name="T4" fmla="*/ 0 w 21600"/>
              <a:gd name="T5" fmla="*/ 2147483647 h 15952"/>
              <a:gd name="T6" fmla="*/ 0 60000 65536"/>
              <a:gd name="T7" fmla="*/ 0 60000 65536"/>
              <a:gd name="T8" fmla="*/ 0 60000 65536"/>
            </a:gdLst>
            <a:ahLst/>
            <a:cxnLst>
              <a:cxn ang="T6">
                <a:pos x="T0" y="T1"/>
              </a:cxn>
              <a:cxn ang="T7">
                <a:pos x="T2" y="T3"/>
              </a:cxn>
              <a:cxn ang="T8">
                <a:pos x="T4" y="T5"/>
              </a:cxn>
            </a:cxnLst>
            <a:rect l="0" t="0" r="r" b="b"/>
            <a:pathLst>
              <a:path w="21600" h="15952" fill="none" extrusionOk="0">
                <a:moveTo>
                  <a:pt x="14563" y="0"/>
                </a:moveTo>
                <a:cubicBezTo>
                  <a:pt x="19046" y="4092"/>
                  <a:pt x="21600" y="9882"/>
                  <a:pt x="21600" y="15952"/>
                </a:cubicBezTo>
              </a:path>
              <a:path w="21600" h="15952" stroke="0" extrusionOk="0">
                <a:moveTo>
                  <a:pt x="14563" y="0"/>
                </a:moveTo>
                <a:cubicBezTo>
                  <a:pt x="19046" y="4092"/>
                  <a:pt x="21600" y="9882"/>
                  <a:pt x="21600" y="15952"/>
                </a:cubicBezTo>
                <a:lnTo>
                  <a:pt x="0" y="15952"/>
                </a:lnTo>
                <a:lnTo>
                  <a:pt x="14563" y="0"/>
                </a:lnTo>
                <a:close/>
              </a:path>
            </a:pathLst>
          </a:custGeom>
          <a:noFill/>
          <a:ln w="57150">
            <a:solidFill>
              <a:srgbClr xmlns:mc="http://schemas.openxmlformats.org/markup-compatibility/2006" xmlns:a14="http://schemas.microsoft.com/office/drawing/2010/main" val="339966" mc:Ignorable="a14" a14:legacySpreadsheetColorIndex="57"/>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 name="Text Box 23"/>
          <xdr:cNvSpPr txBox="1">
            <a:spLocks noChangeArrowheads="1"/>
          </xdr:cNvSpPr>
        </xdr:nvSpPr>
        <xdr:spPr bwMode="auto">
          <a:xfrm>
            <a:off x="5062257" y="10475259"/>
            <a:ext cx="810186" cy="23868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n1 = 1,33</a:t>
            </a:r>
          </a:p>
        </xdr:txBody>
      </xdr:sp>
      <xdr:sp macro="" textlink="">
        <xdr:nvSpPr>
          <xdr:cNvPr id="86" name="Line 24"/>
          <xdr:cNvSpPr>
            <a:spLocks noChangeShapeType="1"/>
          </xdr:cNvSpPr>
        </xdr:nvSpPr>
        <xdr:spPr bwMode="auto">
          <a:xfrm>
            <a:off x="5605743" y="9337862"/>
            <a:ext cx="1657350" cy="2915210"/>
          </a:xfrm>
          <a:prstGeom prst="line">
            <a:avLst/>
          </a:prstGeom>
          <a:noFill/>
          <a:ln w="9525">
            <a:solidFill>
              <a:srgbClr xmlns:mc="http://schemas.openxmlformats.org/markup-compatibility/2006" xmlns:a14="http://schemas.microsoft.com/office/drawing/2010/main" val="FF00FF" mc:Ignorable="a14" a14:legacySpreadsheetColorIndex="14"/>
            </a:solidFill>
            <a:prstDash val="dash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 name="Line 25"/>
          <xdr:cNvSpPr>
            <a:spLocks noChangeShapeType="1"/>
          </xdr:cNvSpPr>
        </xdr:nvSpPr>
        <xdr:spPr bwMode="auto">
          <a:xfrm>
            <a:off x="5834343" y="9700932"/>
            <a:ext cx="1466850" cy="564217"/>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Arc 26"/>
          <xdr:cNvSpPr>
            <a:spLocks/>
          </xdr:cNvSpPr>
        </xdr:nvSpPr>
        <xdr:spPr bwMode="auto">
          <a:xfrm rot="10800000" flipH="1">
            <a:off x="6129618" y="9911603"/>
            <a:ext cx="257175" cy="28631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57150">
            <a:solidFill>
              <a:srgbClr xmlns:mc="http://schemas.openxmlformats.org/markup-compatibility/2006" xmlns:a14="http://schemas.microsoft.com/office/drawing/2010/main" val="FFCC00" mc:Ignorable="a14" a14:legacySpreadsheetColorIndex="5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 name="Text Box 27"/>
          <xdr:cNvSpPr txBox="1">
            <a:spLocks noChangeArrowheads="1"/>
          </xdr:cNvSpPr>
        </xdr:nvSpPr>
        <xdr:spPr bwMode="auto">
          <a:xfrm>
            <a:off x="6348693" y="10322299"/>
            <a:ext cx="1019175" cy="382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FFCC00"/>
                </a:solidFill>
                <a:latin typeface="Arial"/>
                <a:cs typeface="Arial"/>
              </a:rPr>
              <a:t>Brechungswinkel 2</a:t>
            </a:r>
          </a:p>
        </xdr:txBody>
      </xdr:sp>
    </xdr:grpSp>
    <xdr:clientData/>
  </xdr:twoCellAnchor>
  <xdr:twoCellAnchor>
    <xdr:from>
      <xdr:col>3</xdr:col>
      <xdr:colOff>682138</xdr:colOff>
      <xdr:row>198</xdr:row>
      <xdr:rowOff>83618</xdr:rowOff>
    </xdr:from>
    <xdr:to>
      <xdr:col>6</xdr:col>
      <xdr:colOff>663088</xdr:colOff>
      <xdr:row>208</xdr:row>
      <xdr:rowOff>115341</xdr:rowOff>
    </xdr:to>
    <xdr:grpSp>
      <xdr:nvGrpSpPr>
        <xdr:cNvPr id="109" name="Gruppieren 108"/>
        <xdr:cNvGrpSpPr/>
      </xdr:nvGrpSpPr>
      <xdr:grpSpPr>
        <a:xfrm>
          <a:off x="5701813" y="32420993"/>
          <a:ext cx="2905125" cy="1650973"/>
          <a:chOff x="5701080" y="28255637"/>
          <a:chExt cx="2904393" cy="1643646"/>
        </a:xfrm>
      </xdr:grpSpPr>
      <xdr:grpSp>
        <xdr:nvGrpSpPr>
          <xdr:cNvPr id="102" name="Gruppieren 101"/>
          <xdr:cNvGrpSpPr/>
        </xdr:nvGrpSpPr>
        <xdr:grpSpPr>
          <a:xfrm>
            <a:off x="5701080" y="28267268"/>
            <a:ext cx="2904393" cy="1632015"/>
            <a:chOff x="5657117" y="28106076"/>
            <a:chExt cx="2904393" cy="1632015"/>
          </a:xfrm>
        </xdr:grpSpPr>
        <xdr:grpSp>
          <xdr:nvGrpSpPr>
            <xdr:cNvPr id="101" name="Gruppieren 100"/>
            <xdr:cNvGrpSpPr/>
          </xdr:nvGrpSpPr>
          <xdr:grpSpPr>
            <a:xfrm>
              <a:off x="5657117" y="28106076"/>
              <a:ext cx="2904393" cy="1632015"/>
              <a:chOff x="5658410" y="28311661"/>
              <a:chExt cx="2905686" cy="1644945"/>
            </a:xfrm>
          </xdr:grpSpPr>
          <xdr:grpSp>
            <xdr:nvGrpSpPr>
              <xdr:cNvPr id="13" name="Group 54"/>
              <xdr:cNvGrpSpPr>
                <a:grpSpLocks/>
              </xdr:cNvGrpSpPr>
            </xdr:nvGrpSpPr>
            <xdr:grpSpPr bwMode="auto">
              <a:xfrm>
                <a:off x="5658410" y="28311661"/>
                <a:ext cx="2905686" cy="1643903"/>
                <a:chOff x="437" y="2594"/>
                <a:chExt cx="238" cy="172"/>
              </a:xfrm>
            </xdr:grpSpPr>
            <xdr:grpSp>
              <xdr:nvGrpSpPr>
                <xdr:cNvPr id="14" name="Group 52"/>
                <xdr:cNvGrpSpPr>
                  <a:grpSpLocks/>
                </xdr:cNvGrpSpPr>
              </xdr:nvGrpSpPr>
              <xdr:grpSpPr bwMode="auto">
                <a:xfrm>
                  <a:off x="437" y="2594"/>
                  <a:ext cx="238" cy="172"/>
                  <a:chOff x="437" y="2594"/>
                  <a:chExt cx="238" cy="172"/>
                </a:xfrm>
              </xdr:grpSpPr>
              <xdr:sp macro="" textlink="">
                <xdr:nvSpPr>
                  <xdr:cNvPr id="16" name="Rectangle 28"/>
                  <xdr:cNvSpPr>
                    <a:spLocks noChangeArrowheads="1"/>
                  </xdr:cNvSpPr>
                </xdr:nvSpPr>
                <xdr:spPr bwMode="auto">
                  <a:xfrm>
                    <a:off x="437" y="2594"/>
                    <a:ext cx="238" cy="8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Rectangle 29"/>
                  <xdr:cNvSpPr>
                    <a:spLocks noChangeArrowheads="1"/>
                  </xdr:cNvSpPr>
                </xdr:nvSpPr>
                <xdr:spPr bwMode="auto">
                  <a:xfrm>
                    <a:off x="437" y="2664"/>
                    <a:ext cx="238" cy="102"/>
                  </a:xfrm>
                  <a:prstGeom prst="rect">
                    <a:avLst/>
                  </a:prstGeom>
                  <a:solidFill>
                    <a:srgbClr xmlns:mc="http://schemas.openxmlformats.org/markup-compatibility/2006" xmlns:a14="http://schemas.microsoft.com/office/drawing/2010/main" val="CCFFFF" mc:Ignorable="a14" a14:legacySpreadsheetColorIndex="4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Line 31"/>
                  <xdr:cNvSpPr>
                    <a:spLocks noChangeShapeType="1"/>
                  </xdr:cNvSpPr>
                </xdr:nvSpPr>
                <xdr:spPr bwMode="auto">
                  <a:xfrm flipV="1">
                    <a:off x="479" y="2664"/>
                    <a:ext cx="41" cy="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Line 32"/>
                  <xdr:cNvSpPr>
                    <a:spLocks noChangeShapeType="1"/>
                  </xdr:cNvSpPr>
                </xdr:nvSpPr>
                <xdr:spPr bwMode="auto">
                  <a:xfrm flipV="1">
                    <a:off x="522" y="2636"/>
                    <a:ext cx="53"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Text Box 34"/>
                  <xdr:cNvSpPr txBox="1">
                    <a:spLocks noChangeArrowheads="1"/>
                  </xdr:cNvSpPr>
                </xdr:nvSpPr>
                <xdr:spPr bwMode="auto">
                  <a:xfrm>
                    <a:off x="464" y="2697"/>
                    <a:ext cx="20" cy="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spAutoFit/>
                  </a:bodyPr>
                  <a:lstStyle/>
                  <a:p>
                    <a:pPr algn="l" rtl="0">
                      <a:defRPr sz="1000"/>
                    </a:pPr>
                    <a:r>
                      <a:rPr lang="de-DE" sz="800" b="0" i="0" u="none" strike="noStrike" baseline="0">
                        <a:solidFill>
                          <a:srgbClr val="000000"/>
                        </a:solidFill>
                        <a:latin typeface="Arial"/>
                        <a:cs typeface="Arial"/>
                      </a:rPr>
                      <a:t>4 m</a:t>
                    </a:r>
                  </a:p>
                </xdr:txBody>
              </xdr:sp>
              <xdr:sp macro="" textlink="">
                <xdr:nvSpPr>
                  <xdr:cNvPr id="21" name="Text Box 35"/>
                  <xdr:cNvSpPr txBox="1">
                    <a:spLocks noChangeArrowheads="1"/>
                  </xdr:cNvSpPr>
                </xdr:nvSpPr>
                <xdr:spPr bwMode="auto">
                  <a:xfrm>
                    <a:off x="589" y="2627"/>
                    <a:ext cx="29" cy="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spAutoFit/>
                  </a:bodyPr>
                  <a:lstStyle/>
                  <a:p>
                    <a:pPr algn="l" rtl="0">
                      <a:defRPr sz="1000"/>
                    </a:pPr>
                    <a:r>
                      <a:rPr lang="de-DE" sz="800" b="0" i="0" u="none" strike="noStrike" baseline="0">
                        <a:solidFill>
                          <a:srgbClr val="000000"/>
                        </a:solidFill>
                        <a:latin typeface="Arial"/>
                        <a:cs typeface="Arial"/>
                      </a:rPr>
                      <a:t>0,9 m</a:t>
                    </a:r>
                  </a:p>
                </xdr:txBody>
              </xdr:sp>
              <xdr:grpSp>
                <xdr:nvGrpSpPr>
                  <xdr:cNvPr id="22" name="Group 38"/>
                  <xdr:cNvGrpSpPr>
                    <a:grpSpLocks/>
                  </xdr:cNvGrpSpPr>
                </xdr:nvGrpSpPr>
                <xdr:grpSpPr bwMode="auto">
                  <a:xfrm>
                    <a:off x="476" y="2632"/>
                    <a:ext cx="8" cy="32"/>
                    <a:chOff x="323" y="2648"/>
                    <a:chExt cx="8" cy="32"/>
                  </a:xfrm>
                </xdr:grpSpPr>
                <xdr:sp macro="" textlink="">
                  <xdr:nvSpPr>
                    <xdr:cNvPr id="32" name="Oval 36"/>
                    <xdr:cNvSpPr>
                      <a:spLocks noChangeArrowheads="1"/>
                    </xdr:cNvSpPr>
                  </xdr:nvSpPr>
                  <xdr:spPr bwMode="auto">
                    <a:xfrm>
                      <a:off x="323" y="2648"/>
                      <a:ext cx="8" cy="1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Oval 37"/>
                    <xdr:cNvSpPr>
                      <a:spLocks noChangeArrowheads="1"/>
                    </xdr:cNvSpPr>
                  </xdr:nvSpPr>
                  <xdr:spPr bwMode="auto">
                    <a:xfrm>
                      <a:off x="323" y="2658"/>
                      <a:ext cx="8" cy="22"/>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 name="Group 39"/>
                  <xdr:cNvGrpSpPr>
                    <a:grpSpLocks/>
                  </xdr:cNvGrpSpPr>
                </xdr:nvGrpSpPr>
                <xdr:grpSpPr bwMode="auto">
                  <a:xfrm>
                    <a:off x="577" y="2631"/>
                    <a:ext cx="8" cy="32"/>
                    <a:chOff x="323" y="2648"/>
                    <a:chExt cx="8" cy="32"/>
                  </a:xfrm>
                </xdr:grpSpPr>
                <xdr:sp macro="" textlink="">
                  <xdr:nvSpPr>
                    <xdr:cNvPr id="30" name="Oval 40"/>
                    <xdr:cNvSpPr>
                      <a:spLocks noChangeArrowheads="1"/>
                    </xdr:cNvSpPr>
                  </xdr:nvSpPr>
                  <xdr:spPr bwMode="auto">
                    <a:xfrm>
                      <a:off x="323" y="2648"/>
                      <a:ext cx="8" cy="1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Oval 41"/>
                    <xdr:cNvSpPr>
                      <a:spLocks noChangeArrowheads="1"/>
                    </xdr:cNvSpPr>
                  </xdr:nvSpPr>
                  <xdr:spPr bwMode="auto">
                    <a:xfrm>
                      <a:off x="323" y="2658"/>
                      <a:ext cx="8" cy="22"/>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AutoShape 50"/>
                  <xdr:cNvSpPr>
                    <a:spLocks noChangeArrowheads="1"/>
                  </xdr:cNvSpPr>
                </xdr:nvSpPr>
                <xdr:spPr bwMode="auto">
                  <a:xfrm rot="5400000">
                    <a:off x="459" y="2685"/>
                    <a:ext cx="80" cy="39"/>
                  </a:xfrm>
                  <a:prstGeom prst="rtTriangle">
                    <a:avLst/>
                  </a:prstGeom>
                  <a:solidFill>
                    <a:srgbClr xmlns:mc="http://schemas.openxmlformats.org/markup-compatibility/2006" xmlns:a14="http://schemas.microsoft.com/office/drawing/2010/main" val="FF0000" mc:Ignorable="a14" a14:legacySpreadsheetColorIndex="10">
                      <a:alpha val="32941"/>
                    </a:srgbClr>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AutoShape 51"/>
                  <xdr:cNvSpPr>
                    <a:spLocks noChangeArrowheads="1"/>
                  </xdr:cNvSpPr>
                </xdr:nvSpPr>
                <xdr:spPr bwMode="auto">
                  <a:xfrm flipH="1">
                    <a:off x="522" y="2637"/>
                    <a:ext cx="55" cy="27"/>
                  </a:xfrm>
                  <a:prstGeom prst="rtTriangle">
                    <a:avLst/>
                  </a:prstGeom>
                  <a:solidFill>
                    <a:srgbClr xmlns:mc="http://schemas.openxmlformats.org/markup-compatibility/2006" xmlns:a14="http://schemas.microsoft.com/office/drawing/2010/main" val="969696" mc:Ignorable="a14" a14:legacySpreadsheetColorIndex="55">
                      <a:alpha val="47058"/>
                    </a:srgbClr>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 name="Line 53"/>
                <xdr:cNvSpPr>
                  <a:spLocks noChangeShapeType="1"/>
                </xdr:cNvSpPr>
              </xdr:nvSpPr>
              <xdr:spPr bwMode="auto">
                <a:xfrm>
                  <a:off x="520" y="2627"/>
                  <a:ext cx="0" cy="1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1" name="Text Box 34"/>
              <xdr:cNvSpPr txBox="1">
                <a:spLocks noChangeArrowheads="1"/>
              </xdr:cNvSpPr>
            </xdr:nvSpPr>
            <xdr:spPr bwMode="auto">
              <a:xfrm>
                <a:off x="6478121" y="29326914"/>
                <a:ext cx="244175" cy="14336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noAutofit/>
              </a:bodyPr>
              <a:lstStyle/>
              <a:p>
                <a:pPr algn="l" rtl="0">
                  <a:defRPr sz="1000"/>
                </a:pPr>
                <a:r>
                  <a:rPr lang="de-DE" sz="800" b="0" i="0" u="none" strike="noStrike" baseline="0">
                    <a:solidFill>
                      <a:srgbClr val="000000"/>
                    </a:solidFill>
                    <a:latin typeface="Arial"/>
                    <a:cs typeface="Arial"/>
                  </a:rPr>
                  <a:t>19°</a:t>
                </a:r>
              </a:p>
            </xdr:txBody>
          </xdr:sp>
          <xdr:sp macro="" textlink="">
            <xdr:nvSpPr>
              <xdr:cNvPr id="94" name="Trapezoid 93"/>
              <xdr:cNvSpPr/>
            </xdr:nvSpPr>
            <xdr:spPr>
              <a:xfrm rot="10800000">
                <a:off x="5927912" y="28888765"/>
                <a:ext cx="571500" cy="84044"/>
              </a:xfrm>
              <a:prstGeom prst="trapezoid">
                <a:avLst/>
              </a:prstGeom>
              <a:solidFill>
                <a:schemeClr val="accent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97" name="Gruppieren 96"/>
              <xdr:cNvGrpSpPr/>
            </xdr:nvGrpSpPr>
            <xdr:grpSpPr>
              <a:xfrm>
                <a:off x="6129618" y="29650764"/>
                <a:ext cx="97670" cy="305842"/>
                <a:chOff x="6420971" y="26266588"/>
                <a:chExt cx="97670" cy="305842"/>
              </a:xfrm>
            </xdr:grpSpPr>
            <xdr:sp macro="" textlink="">
              <xdr:nvSpPr>
                <xdr:cNvPr id="95" name="Oval 40"/>
                <xdr:cNvSpPr>
                  <a:spLocks noChangeArrowheads="1"/>
                </xdr:cNvSpPr>
              </xdr:nvSpPr>
              <xdr:spPr bwMode="auto">
                <a:xfrm>
                  <a:off x="6420971" y="26266588"/>
                  <a:ext cx="97670" cy="95576"/>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Oval 41"/>
                <xdr:cNvSpPr>
                  <a:spLocks noChangeArrowheads="1"/>
                </xdr:cNvSpPr>
              </xdr:nvSpPr>
              <xdr:spPr bwMode="auto">
                <a:xfrm>
                  <a:off x="6420971" y="26362164"/>
                  <a:ext cx="97670" cy="210266"/>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xnSp macro="">
            <xdr:nvCxnSpPr>
              <xdr:cNvPr id="99" name="Gerade Verbindung mit Pfeil 98"/>
              <xdr:cNvCxnSpPr/>
            </xdr:nvCxnSpPr>
            <xdr:spPr>
              <a:xfrm>
                <a:off x="6174441" y="28440529"/>
                <a:ext cx="502130" cy="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sp macro="" textlink="">
            <xdr:nvSpPr>
              <xdr:cNvPr id="100" name="Trapezoid 99"/>
              <xdr:cNvSpPr/>
            </xdr:nvSpPr>
            <xdr:spPr>
              <a:xfrm rot="10800000">
                <a:off x="7150474" y="28895488"/>
                <a:ext cx="571500" cy="84044"/>
              </a:xfrm>
              <a:prstGeom prst="trapezoid">
                <a:avLst/>
              </a:prstGeom>
              <a:solidFill>
                <a:schemeClr val="accent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 name="Text Box 49"/>
            <xdr:cNvSpPr txBox="1">
              <a:spLocks noChangeArrowheads="1"/>
            </xdr:cNvSpPr>
          </xdr:nvSpPr>
          <xdr:spPr bwMode="auto">
            <a:xfrm>
              <a:off x="7198314" y="28788386"/>
              <a:ext cx="1362075" cy="19799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x° = 90° - Brechungswinkel</a:t>
              </a:r>
            </a:p>
          </xdr:txBody>
        </xdr:sp>
        <xdr:sp macro="" textlink="">
          <xdr:nvSpPr>
            <xdr:cNvPr id="92" name="Text Box 34"/>
            <xdr:cNvSpPr txBox="1">
              <a:spLocks noChangeArrowheads="1"/>
            </xdr:cNvSpPr>
          </xdr:nvSpPr>
          <xdr:spPr bwMode="auto">
            <a:xfrm>
              <a:off x="6699652" y="28568363"/>
              <a:ext cx="244175" cy="1420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noAutofit/>
            </a:bodyPr>
            <a:lstStyle/>
            <a:p>
              <a:pPr algn="l" rtl="0">
                <a:defRPr sz="1000"/>
              </a:pPr>
              <a:r>
                <a:rPr lang="de-DE" sz="800" b="0" i="0" u="none" strike="noStrike" baseline="0">
                  <a:solidFill>
                    <a:srgbClr val="000000"/>
                  </a:solidFill>
                  <a:latin typeface="Arial"/>
                  <a:cs typeface="Arial"/>
                </a:rPr>
                <a:t>? °</a:t>
              </a:r>
            </a:p>
          </xdr:txBody>
        </xdr:sp>
        <xdr:sp macro="" textlink="">
          <xdr:nvSpPr>
            <xdr:cNvPr id="93" name="Text Box 34"/>
            <xdr:cNvSpPr txBox="1">
              <a:spLocks noChangeArrowheads="1"/>
            </xdr:cNvSpPr>
          </xdr:nvSpPr>
          <xdr:spPr bwMode="auto">
            <a:xfrm>
              <a:off x="6946182" y="28624391"/>
              <a:ext cx="244175" cy="1420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noAutofit/>
            </a:bodyPr>
            <a:lstStyle/>
            <a:p>
              <a:pPr algn="l" rtl="0">
                <a:defRPr sz="1000"/>
              </a:pPr>
              <a:r>
                <a:rPr lang="de-DE" sz="800" b="0" i="0" u="none" strike="noStrike" baseline="0">
                  <a:solidFill>
                    <a:srgbClr val="000000"/>
                  </a:solidFill>
                  <a:latin typeface="Arial"/>
                  <a:cs typeface="Arial"/>
                </a:rPr>
                <a:t>x°</a:t>
              </a:r>
            </a:p>
          </xdr:txBody>
        </xdr:sp>
      </xdr:grpSp>
      <xdr:cxnSp macro="">
        <xdr:nvCxnSpPr>
          <xdr:cNvPr id="105" name="Gerade Verbindung mit Pfeil 104"/>
          <xdr:cNvCxnSpPr/>
        </xdr:nvCxnSpPr>
        <xdr:spPr>
          <a:xfrm>
            <a:off x="6711462" y="28399154"/>
            <a:ext cx="776653" cy="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sp macro="" textlink="">
        <xdr:nvSpPr>
          <xdr:cNvPr id="106" name="Text Box 34"/>
          <xdr:cNvSpPr txBox="1">
            <a:spLocks noChangeArrowheads="1"/>
          </xdr:cNvSpPr>
        </xdr:nvSpPr>
        <xdr:spPr bwMode="auto">
          <a:xfrm flipV="1">
            <a:off x="6316541" y="28255637"/>
            <a:ext cx="175113" cy="18747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no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107" name="Text Box 34"/>
          <xdr:cNvSpPr txBox="1">
            <a:spLocks noChangeArrowheads="1"/>
          </xdr:cNvSpPr>
        </xdr:nvSpPr>
        <xdr:spPr bwMode="auto">
          <a:xfrm flipV="1">
            <a:off x="6967172" y="28261499"/>
            <a:ext cx="175113" cy="18747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22860" rIns="0" bIns="0" anchor="t" upright="1">
            <a:noAutofit/>
          </a:bodyPr>
          <a:lstStyle/>
          <a:p>
            <a:pPr algn="l" rtl="0">
              <a:defRPr sz="1000"/>
            </a:pPr>
            <a:r>
              <a:rPr lang="de-DE" sz="800" b="0" i="0" u="none" strike="noStrike" baseline="0">
                <a:solidFill>
                  <a:srgbClr val="000000"/>
                </a:solidFill>
                <a:latin typeface="Arial"/>
                <a:cs typeface="Arial"/>
              </a:rPr>
              <a:t>b</a:t>
            </a:r>
          </a:p>
        </xdr:txBody>
      </xdr:sp>
    </xdr:grpSp>
    <xdr:clientData/>
  </xdr:twoCellAnchor>
  <xdr:oneCellAnchor>
    <xdr:from>
      <xdr:col>1</xdr:col>
      <xdr:colOff>847725</xdr:colOff>
      <xdr:row>375</xdr:row>
      <xdr:rowOff>123825</xdr:rowOff>
    </xdr:from>
    <xdr:ext cx="2990850" cy="352788"/>
    <xdr:pic>
      <xdr:nvPicPr>
        <xdr:cNvPr id="110" name="Picture 28" descr="\theta_{\mathrm c} = \arcsin\left(\frac{n_2}{n_1}\righ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42843450"/>
          <a:ext cx="2990850" cy="352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419100</xdr:colOff>
      <xdr:row>25</xdr:row>
      <xdr:rowOff>57150</xdr:rowOff>
    </xdr:from>
    <xdr:to>
      <xdr:col>18</xdr:col>
      <xdr:colOff>123825</xdr:colOff>
      <xdr:row>51</xdr:row>
      <xdr:rowOff>57150</xdr:rowOff>
    </xdr:to>
    <xdr:sp macro="" textlink="">
      <xdr:nvSpPr>
        <xdr:cNvPr id="73" name="Text Box 1"/>
        <xdr:cNvSpPr txBox="1">
          <a:spLocks noChangeArrowheads="1"/>
        </xdr:cNvSpPr>
      </xdr:nvSpPr>
      <xdr:spPr bwMode="auto">
        <a:xfrm>
          <a:off x="9886950" y="4324350"/>
          <a:ext cx="7143750" cy="42100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Als Abbesche Zahl (Abbezahl, engl.: reciprocal dispersive power) bezeichnet man eine von Ernst Abbe eingeführte vereinfachte Größe zur Kennzeichnung der Abhängigkeit der Brechzahl eines optischen Mediums von der Wellenlänge (Dispersion). Zur Berechnung der Abbeschen Zahl (V) wird die Brechkraft des Mediums bei drei unterschiedlichen Wellenlängen (nλ) ins Verhältnis gesetzt: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V = (nd - 1) / (nF - nC)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oder</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V = (ne - 1) / (nF1 - nC1)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Wobei die folgenden Bezugswellenlängen Verwendung finden (vergl. ISO7944):</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nd: Brechzahl der gelben Helium-d-Linie (587,56nm) </a:t>
          </a:r>
        </a:p>
        <a:p>
          <a:pPr algn="l" rtl="0">
            <a:defRPr sz="1000"/>
          </a:pPr>
          <a:r>
            <a:rPr lang="de-DE" sz="1000" b="0" i="0" u="none" strike="noStrike" baseline="0">
              <a:solidFill>
                <a:srgbClr val="000000"/>
              </a:solidFill>
              <a:latin typeface="Arial"/>
              <a:cs typeface="Arial"/>
            </a:rPr>
            <a:t>    nF: Brechzahl der blauen Wasserstoff-F-Linie (486,13nm) </a:t>
          </a:r>
        </a:p>
        <a:p>
          <a:pPr algn="l" rtl="0">
            <a:defRPr sz="1000"/>
          </a:pPr>
          <a:r>
            <a:rPr lang="de-DE" sz="1000" b="0" i="0" u="none" strike="noStrike" baseline="0">
              <a:solidFill>
                <a:srgbClr val="000000"/>
              </a:solidFill>
              <a:latin typeface="Arial"/>
              <a:cs typeface="Arial"/>
            </a:rPr>
            <a:t>    nC: Brechzahl der roten Wasserstoff-C-Linie (656,27nm)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ne: Brechzahl der grünen Quecksilber-e-Linie (546,04nm) </a:t>
          </a:r>
        </a:p>
        <a:p>
          <a:pPr algn="l" rtl="0">
            <a:defRPr sz="1000"/>
          </a:pPr>
          <a:r>
            <a:rPr lang="de-DE" sz="1000" b="0" i="0" u="none" strike="noStrike" baseline="0">
              <a:solidFill>
                <a:srgbClr val="000000"/>
              </a:solidFill>
              <a:latin typeface="Arial"/>
              <a:cs typeface="Arial"/>
            </a:rPr>
            <a:t>    nF1: Brechzahl der blauen Cadmium-F1-Linie (479,99nm) </a:t>
          </a:r>
        </a:p>
        <a:p>
          <a:pPr algn="l" rtl="0">
            <a:defRPr sz="1000"/>
          </a:pPr>
          <a:r>
            <a:rPr lang="de-DE" sz="1000" b="0" i="0" u="none" strike="noStrike" baseline="0">
              <a:solidFill>
                <a:srgbClr val="000000"/>
              </a:solidFill>
              <a:latin typeface="Arial"/>
              <a:cs typeface="Arial"/>
            </a:rPr>
            <a:t>    nC1: Brechzahl der roten Cadmium-C1-Linie (643,85nm)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Daraus ergibt sich, dass ein Material mit geringer Dispersion eine hohe Abbezahl besitzt. Als typische Zahlenwerte für gebräuchliche Glassorten gelten z.B. 20 (Flintglas), 60 (Kronglas) oder 85 (Fluorit-Kronglas). Magnesiumfluorid mit einer besonders geringen Dispersion hat eine Abbe-Zahl von 95.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161925</xdr:colOff>
      <xdr:row>55</xdr:row>
      <xdr:rowOff>123825</xdr:rowOff>
    </xdr:from>
    <xdr:to>
      <xdr:col>8</xdr:col>
      <xdr:colOff>504825</xdr:colOff>
      <xdr:row>67</xdr:row>
      <xdr:rowOff>76200</xdr:rowOff>
    </xdr:to>
    <xdr:grpSp>
      <xdr:nvGrpSpPr>
        <xdr:cNvPr id="2" name="Group 22"/>
        <xdr:cNvGrpSpPr>
          <a:grpSpLocks/>
        </xdr:cNvGrpSpPr>
      </xdr:nvGrpSpPr>
      <xdr:grpSpPr bwMode="auto">
        <a:xfrm>
          <a:off x="4248150" y="9029700"/>
          <a:ext cx="3390900" cy="1895475"/>
          <a:chOff x="159" y="159"/>
          <a:chExt cx="356" cy="199"/>
        </a:xfrm>
      </xdr:grpSpPr>
      <xdr:grpSp>
        <xdr:nvGrpSpPr>
          <xdr:cNvPr id="3" name="Group 14"/>
          <xdr:cNvGrpSpPr>
            <a:grpSpLocks/>
          </xdr:cNvGrpSpPr>
        </xdr:nvGrpSpPr>
        <xdr:grpSpPr bwMode="auto">
          <a:xfrm>
            <a:off x="159" y="159"/>
            <a:ext cx="356" cy="199"/>
            <a:chOff x="309" y="98"/>
            <a:chExt cx="367" cy="199"/>
          </a:xfrm>
        </xdr:grpSpPr>
        <xdr:grpSp>
          <xdr:nvGrpSpPr>
            <xdr:cNvPr id="13" name="Group 9"/>
            <xdr:cNvGrpSpPr>
              <a:grpSpLocks/>
            </xdr:cNvGrpSpPr>
          </xdr:nvGrpSpPr>
          <xdr:grpSpPr bwMode="auto">
            <a:xfrm>
              <a:off x="377" y="98"/>
              <a:ext cx="231" cy="199"/>
              <a:chOff x="582" y="76"/>
              <a:chExt cx="231" cy="199"/>
            </a:xfrm>
          </xdr:grpSpPr>
          <xdr:sp macro="" textlink="">
            <xdr:nvSpPr>
              <xdr:cNvPr id="18" name="Gleichschenkliges Dreieck 1"/>
              <xdr:cNvSpPr>
                <a:spLocks noChangeArrowheads="1"/>
              </xdr:cNvSpPr>
            </xdr:nvSpPr>
            <xdr:spPr bwMode="auto">
              <a:xfrm>
                <a:off x="582" y="76"/>
                <a:ext cx="231" cy="199"/>
              </a:xfrm>
              <a:prstGeom prst="triangle">
                <a:avLst>
                  <a:gd name="adj" fmla="val 50000"/>
                </a:avLst>
              </a:prstGeom>
              <a:solidFill>
                <a:srgbClr val="FFFFFF"/>
              </a:solidFill>
              <a:ln w="9525" algn="ctr">
                <a:solidFill>
                  <a:srgbClr val="000000"/>
                </a:solidFill>
                <a:round/>
                <a:headEnd/>
                <a:tailEnd/>
              </a:ln>
            </xdr:spPr>
          </xdr:sp>
          <xdr:cxnSp macro="">
            <xdr:nvCxnSpPr>
              <xdr:cNvPr id="19" name="Gerade Verbindung mit Pfeil 3"/>
              <xdr:cNvCxnSpPr>
                <a:cxnSpLocks noChangeShapeType="1"/>
              </xdr:cNvCxnSpPr>
            </xdr:nvCxnSpPr>
            <xdr:spPr bwMode="auto">
              <a:xfrm>
                <a:off x="630" y="197"/>
                <a:ext cx="135"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sp macro="" textlink="">
          <xdr:nvSpPr>
            <xdr:cNvPr id="14" name="Line 10"/>
            <xdr:cNvSpPr>
              <a:spLocks noChangeShapeType="1"/>
            </xdr:cNvSpPr>
          </xdr:nvSpPr>
          <xdr:spPr bwMode="auto">
            <a:xfrm>
              <a:off x="344" y="172"/>
              <a:ext cx="157" cy="93"/>
            </a:xfrm>
            <a:prstGeom prst="line">
              <a:avLst/>
            </a:prstGeom>
            <a:noFill/>
            <a:ln w="9525">
              <a:solidFill>
                <a:srgbClr val="FF00FF"/>
              </a:solidFill>
              <a:round/>
              <a:headEnd/>
              <a:tailEnd/>
            </a:ln>
            <a:extLst>
              <a:ext uri="{909E8E84-426E-40DD-AFC4-6F175D3DCCD1}">
                <a14:hiddenFill xmlns:a14="http://schemas.microsoft.com/office/drawing/2010/main">
                  <a:noFill/>
                </a14:hiddenFill>
              </a:ext>
            </a:extLst>
          </xdr:spPr>
        </xdr:sp>
        <xdr:sp macro="" textlink="">
          <xdr:nvSpPr>
            <xdr:cNvPr id="15" name="Line 11"/>
            <xdr:cNvSpPr>
              <a:spLocks noChangeShapeType="1"/>
            </xdr:cNvSpPr>
          </xdr:nvSpPr>
          <xdr:spPr bwMode="auto">
            <a:xfrm flipV="1">
              <a:off x="482" y="186"/>
              <a:ext cx="142" cy="78"/>
            </a:xfrm>
            <a:prstGeom prst="line">
              <a:avLst/>
            </a:prstGeom>
            <a:noFill/>
            <a:ln w="9525">
              <a:solidFill>
                <a:srgbClr val="FF00FF"/>
              </a:solidFill>
              <a:round/>
              <a:headEnd/>
              <a:tailEnd/>
            </a:ln>
            <a:extLst>
              <a:ext uri="{909E8E84-426E-40DD-AFC4-6F175D3DCCD1}">
                <a14:hiddenFill xmlns:a14="http://schemas.microsoft.com/office/drawing/2010/main">
                  <a:noFill/>
                </a14:hiddenFill>
              </a:ext>
            </a:extLst>
          </xdr:spPr>
        </xdr:sp>
        <xdr:sp macro="" textlink="">
          <xdr:nvSpPr>
            <xdr:cNvPr id="16" name="Line 12"/>
            <xdr:cNvSpPr>
              <a:spLocks noChangeShapeType="1"/>
            </xdr:cNvSpPr>
          </xdr:nvSpPr>
          <xdr:spPr bwMode="auto">
            <a:xfrm flipH="1">
              <a:off x="309" y="220"/>
              <a:ext cx="112" cy="4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7" name="Line 13"/>
            <xdr:cNvSpPr>
              <a:spLocks noChangeShapeType="1"/>
            </xdr:cNvSpPr>
          </xdr:nvSpPr>
          <xdr:spPr bwMode="auto">
            <a:xfrm>
              <a:off x="564" y="220"/>
              <a:ext cx="112" cy="4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4" name="Text Box 17"/>
          <xdr:cNvSpPr txBox="1">
            <a:spLocks noChangeArrowheads="1"/>
          </xdr:cNvSpPr>
        </xdr:nvSpPr>
        <xdr:spPr bwMode="auto">
          <a:xfrm>
            <a:off x="322" y="178"/>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33°</a:t>
            </a:r>
          </a:p>
        </xdr:txBody>
      </xdr:sp>
      <xdr:sp macro="" textlink="">
        <xdr:nvSpPr>
          <xdr:cNvPr id="5" name="Text Box 20"/>
          <xdr:cNvSpPr txBox="1">
            <a:spLocks noChangeArrowheads="1"/>
          </xdr:cNvSpPr>
        </xdr:nvSpPr>
        <xdr:spPr bwMode="auto">
          <a:xfrm>
            <a:off x="276" y="259"/>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W1°</a:t>
            </a:r>
          </a:p>
        </xdr:txBody>
      </xdr:sp>
      <xdr:sp macro="" textlink="">
        <xdr:nvSpPr>
          <xdr:cNvPr id="6" name="Text Box 21"/>
          <xdr:cNvSpPr txBox="1">
            <a:spLocks noChangeArrowheads="1"/>
          </xdr:cNvSpPr>
        </xdr:nvSpPr>
        <xdr:spPr bwMode="auto">
          <a:xfrm>
            <a:off x="366" y="260"/>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W2°</a:t>
            </a:r>
          </a:p>
        </xdr:txBody>
      </xdr:sp>
      <xdr:sp macro="" textlink="">
        <xdr:nvSpPr>
          <xdr:cNvPr id="7" name="Text Box 22"/>
          <xdr:cNvSpPr txBox="1">
            <a:spLocks noChangeArrowheads="1"/>
          </xdr:cNvSpPr>
        </xdr:nvSpPr>
        <xdr:spPr bwMode="auto">
          <a:xfrm>
            <a:off x="293" y="279"/>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25,8°</a:t>
            </a:r>
          </a:p>
        </xdr:txBody>
      </xdr:sp>
      <xdr:sp macro="" textlink="">
        <xdr:nvSpPr>
          <xdr:cNvPr id="8" name="Text Box 23"/>
          <xdr:cNvSpPr txBox="1">
            <a:spLocks noChangeArrowheads="1"/>
          </xdr:cNvSpPr>
        </xdr:nvSpPr>
        <xdr:spPr bwMode="auto">
          <a:xfrm>
            <a:off x="351" y="281"/>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t>
            </a:r>
          </a:p>
        </xdr:txBody>
      </xdr:sp>
      <xdr:sp macro="" textlink="">
        <xdr:nvSpPr>
          <xdr:cNvPr id="9" name="Text Box 24"/>
          <xdr:cNvSpPr txBox="1">
            <a:spLocks noChangeArrowheads="1"/>
          </xdr:cNvSpPr>
        </xdr:nvSpPr>
        <xdr:spPr bwMode="auto">
          <a:xfrm>
            <a:off x="205" y="264"/>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40°</a:t>
            </a:r>
          </a:p>
        </xdr:txBody>
      </xdr:sp>
      <xdr:sp macro="" textlink="">
        <xdr:nvSpPr>
          <xdr:cNvPr id="10" name="Text Box 21"/>
          <xdr:cNvSpPr txBox="1">
            <a:spLocks noChangeArrowheads="1"/>
          </xdr:cNvSpPr>
        </xdr:nvSpPr>
        <xdr:spPr bwMode="auto">
          <a:xfrm>
            <a:off x="437" y="272"/>
            <a:ext cx="55"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t>
            </a:r>
          </a:p>
        </xdr:txBody>
      </xdr:sp>
      <xdr:sp macro="" textlink="">
        <xdr:nvSpPr>
          <xdr:cNvPr id="11" name="Text Box 21"/>
          <xdr:cNvSpPr txBox="1">
            <a:spLocks noChangeArrowheads="1"/>
          </xdr:cNvSpPr>
        </xdr:nvSpPr>
        <xdr:spPr bwMode="auto">
          <a:xfrm>
            <a:off x="203" y="173"/>
            <a:ext cx="71"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n1 = 1,05</a:t>
            </a:r>
          </a:p>
        </xdr:txBody>
      </xdr:sp>
      <xdr:sp macro="" textlink="">
        <xdr:nvSpPr>
          <xdr:cNvPr id="12" name="Text Box 21"/>
          <xdr:cNvSpPr txBox="1">
            <a:spLocks noChangeArrowheads="1"/>
          </xdr:cNvSpPr>
        </xdr:nvSpPr>
        <xdr:spPr bwMode="auto">
          <a:xfrm>
            <a:off x="306" y="221"/>
            <a:ext cx="71"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n2 = 1,55</a:t>
            </a:r>
          </a:p>
        </xdr:txBody>
      </xdr:sp>
    </xdr:grpSp>
    <xdr:clientData/>
  </xdr:twoCellAnchor>
  <xdr:twoCellAnchor>
    <xdr:from>
      <xdr:col>1</xdr:col>
      <xdr:colOff>1238250</xdr:colOff>
      <xdr:row>91</xdr:row>
      <xdr:rowOff>28575</xdr:rowOff>
    </xdr:from>
    <xdr:to>
      <xdr:col>4</xdr:col>
      <xdr:colOff>76200</xdr:colOff>
      <xdr:row>101</xdr:row>
      <xdr:rowOff>85725</xdr:rowOff>
    </xdr:to>
    <xdr:sp macro="" textlink="">
      <xdr:nvSpPr>
        <xdr:cNvPr id="20" name="AutoShape 23"/>
        <xdr:cNvSpPr>
          <a:spLocks noChangeArrowheads="1"/>
        </xdr:cNvSpPr>
      </xdr:nvSpPr>
      <xdr:spPr bwMode="auto">
        <a:xfrm>
          <a:off x="2000250" y="6667500"/>
          <a:ext cx="2162175" cy="1676400"/>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1704975</xdr:colOff>
      <xdr:row>96</xdr:row>
      <xdr:rowOff>85725</xdr:rowOff>
    </xdr:from>
    <xdr:to>
      <xdr:col>3</xdr:col>
      <xdr:colOff>381000</xdr:colOff>
      <xdr:row>96</xdr:row>
      <xdr:rowOff>85725</xdr:rowOff>
    </xdr:to>
    <xdr:sp macro="" textlink="">
      <xdr:nvSpPr>
        <xdr:cNvPr id="21" name="Line 24"/>
        <xdr:cNvSpPr>
          <a:spLocks noChangeShapeType="1"/>
        </xdr:cNvSpPr>
      </xdr:nvSpPr>
      <xdr:spPr bwMode="auto">
        <a:xfrm>
          <a:off x="2466975" y="7534275"/>
          <a:ext cx="1238250"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742950</xdr:colOff>
      <xdr:row>96</xdr:row>
      <xdr:rowOff>85725</xdr:rowOff>
    </xdr:from>
    <xdr:to>
      <xdr:col>1</xdr:col>
      <xdr:colOff>1695450</xdr:colOff>
      <xdr:row>99</xdr:row>
      <xdr:rowOff>123825</xdr:rowOff>
    </xdr:to>
    <xdr:sp macro="" textlink="">
      <xdr:nvSpPr>
        <xdr:cNvPr id="22" name="Line 25"/>
        <xdr:cNvSpPr>
          <a:spLocks noChangeShapeType="1"/>
        </xdr:cNvSpPr>
      </xdr:nvSpPr>
      <xdr:spPr bwMode="auto">
        <a:xfrm flipH="1">
          <a:off x="1504950" y="7534275"/>
          <a:ext cx="952500" cy="5238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1057275</xdr:colOff>
      <xdr:row>94</xdr:row>
      <xdr:rowOff>38100</xdr:rowOff>
    </xdr:from>
    <xdr:to>
      <xdr:col>3</xdr:col>
      <xdr:colOff>47625</xdr:colOff>
      <xdr:row>99</xdr:row>
      <xdr:rowOff>19050</xdr:rowOff>
    </xdr:to>
    <xdr:sp macro="" textlink="">
      <xdr:nvSpPr>
        <xdr:cNvPr id="23" name="Line 26"/>
        <xdr:cNvSpPr>
          <a:spLocks noChangeShapeType="1"/>
        </xdr:cNvSpPr>
      </xdr:nvSpPr>
      <xdr:spPr bwMode="auto">
        <a:xfrm>
          <a:off x="1819275" y="7162800"/>
          <a:ext cx="155257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1743075</xdr:colOff>
      <xdr:row>99</xdr:row>
      <xdr:rowOff>57150</xdr:rowOff>
    </xdr:from>
    <xdr:to>
      <xdr:col>3</xdr:col>
      <xdr:colOff>0</xdr:colOff>
      <xdr:row>100</xdr:row>
      <xdr:rowOff>152400</xdr:rowOff>
    </xdr:to>
    <xdr:sp macro="" textlink="">
      <xdr:nvSpPr>
        <xdr:cNvPr id="24" name="Text Box 28"/>
        <xdr:cNvSpPr txBox="1">
          <a:spLocks noChangeArrowheads="1"/>
        </xdr:cNvSpPr>
      </xdr:nvSpPr>
      <xdr:spPr bwMode="auto">
        <a:xfrm>
          <a:off x="2505075" y="7991475"/>
          <a:ext cx="819150"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 = 1,65</a:t>
          </a:r>
        </a:p>
      </xdr:txBody>
    </xdr:sp>
    <xdr:clientData/>
  </xdr:twoCellAnchor>
  <xdr:twoCellAnchor>
    <xdr:from>
      <xdr:col>1</xdr:col>
      <xdr:colOff>1057275</xdr:colOff>
      <xdr:row>91</xdr:row>
      <xdr:rowOff>57150</xdr:rowOff>
    </xdr:from>
    <xdr:to>
      <xdr:col>1</xdr:col>
      <xdr:colOff>1647825</xdr:colOff>
      <xdr:row>92</xdr:row>
      <xdr:rowOff>152400</xdr:rowOff>
    </xdr:to>
    <xdr:sp macro="" textlink="">
      <xdr:nvSpPr>
        <xdr:cNvPr id="25" name="Text Box 29"/>
        <xdr:cNvSpPr txBox="1">
          <a:spLocks noChangeArrowheads="1"/>
        </xdr:cNvSpPr>
      </xdr:nvSpPr>
      <xdr:spPr bwMode="auto">
        <a:xfrm>
          <a:off x="1819275" y="6696075"/>
          <a:ext cx="590550"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 = 1,0</a:t>
          </a:r>
        </a:p>
      </xdr:txBody>
    </xdr:sp>
    <xdr:clientData/>
  </xdr:twoCellAnchor>
  <xdr:twoCellAnchor>
    <xdr:from>
      <xdr:col>1</xdr:col>
      <xdr:colOff>1781175</xdr:colOff>
      <xdr:row>91</xdr:row>
      <xdr:rowOff>28575</xdr:rowOff>
    </xdr:from>
    <xdr:to>
      <xdr:col>3</xdr:col>
      <xdr:colOff>314325</xdr:colOff>
      <xdr:row>96</xdr:row>
      <xdr:rowOff>76200</xdr:rowOff>
    </xdr:to>
    <xdr:sp macro="" textlink="">
      <xdr:nvSpPr>
        <xdr:cNvPr id="26" name="AutoShape 30"/>
        <xdr:cNvSpPr>
          <a:spLocks noChangeArrowheads="1"/>
        </xdr:cNvSpPr>
      </xdr:nvSpPr>
      <xdr:spPr bwMode="auto">
        <a:xfrm>
          <a:off x="2543175" y="6667500"/>
          <a:ext cx="1095375" cy="857250"/>
        </a:xfrm>
        <a:prstGeom prst="triangle">
          <a:avLst>
            <a:gd name="adj" fmla="val 50000"/>
          </a:avLst>
        </a:prstGeom>
        <a:solidFill>
          <a:srgbClr xmlns:mc="http://schemas.openxmlformats.org/markup-compatibility/2006" xmlns:a14="http://schemas.microsoft.com/office/drawing/2010/main" val="CCFFCC" mc:Ignorable="a14" a14:legacySpreadsheetColorIndex="42">
            <a:alpha val="47842"/>
          </a:srgbClr>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95</xdr:row>
      <xdr:rowOff>19050</xdr:rowOff>
    </xdr:from>
    <xdr:to>
      <xdr:col>3</xdr:col>
      <xdr:colOff>95250</xdr:colOff>
      <xdr:row>96</xdr:row>
      <xdr:rowOff>114300</xdr:rowOff>
    </xdr:to>
    <xdr:sp macro="" textlink="">
      <xdr:nvSpPr>
        <xdr:cNvPr id="27" name="Text Box 31"/>
        <xdr:cNvSpPr txBox="1">
          <a:spLocks noChangeArrowheads="1"/>
        </xdr:cNvSpPr>
      </xdr:nvSpPr>
      <xdr:spPr bwMode="auto">
        <a:xfrm>
          <a:off x="2600325" y="7305675"/>
          <a:ext cx="819150"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W1</a:t>
          </a:r>
        </a:p>
      </xdr:txBody>
    </xdr:sp>
    <xdr:clientData/>
  </xdr:twoCellAnchor>
  <xdr:twoCellAnchor>
    <xdr:from>
      <xdr:col>1</xdr:col>
      <xdr:colOff>228600</xdr:colOff>
      <xdr:row>133</xdr:row>
      <xdr:rowOff>57150</xdr:rowOff>
    </xdr:from>
    <xdr:to>
      <xdr:col>4</xdr:col>
      <xdr:colOff>285750</xdr:colOff>
      <xdr:row>145</xdr:row>
      <xdr:rowOff>19050</xdr:rowOff>
    </xdr:to>
    <xdr:grpSp>
      <xdr:nvGrpSpPr>
        <xdr:cNvPr id="28" name="Group 30"/>
        <xdr:cNvGrpSpPr>
          <a:grpSpLocks/>
        </xdr:cNvGrpSpPr>
      </xdr:nvGrpSpPr>
      <xdr:grpSpPr bwMode="auto">
        <a:xfrm>
          <a:off x="990600" y="21593175"/>
          <a:ext cx="3381375" cy="1905000"/>
          <a:chOff x="219" y="119"/>
          <a:chExt cx="352" cy="200"/>
        </a:xfrm>
      </xdr:grpSpPr>
      <xdr:grpSp>
        <xdr:nvGrpSpPr>
          <xdr:cNvPr id="29" name="Group 24"/>
          <xdr:cNvGrpSpPr>
            <a:grpSpLocks/>
          </xdr:cNvGrpSpPr>
        </xdr:nvGrpSpPr>
        <xdr:grpSpPr bwMode="auto">
          <a:xfrm>
            <a:off x="219" y="120"/>
            <a:ext cx="352" cy="199"/>
            <a:chOff x="219" y="120"/>
            <a:chExt cx="352" cy="199"/>
          </a:xfrm>
        </xdr:grpSpPr>
        <xdr:sp macro="" textlink="">
          <xdr:nvSpPr>
            <xdr:cNvPr id="33" name="Gleichschenkliges Dreieck 1"/>
            <xdr:cNvSpPr>
              <a:spLocks noChangeArrowheads="1"/>
            </xdr:cNvSpPr>
          </xdr:nvSpPr>
          <xdr:spPr bwMode="auto">
            <a:xfrm>
              <a:off x="301" y="120"/>
              <a:ext cx="173" cy="199"/>
            </a:xfrm>
            <a:prstGeom prst="triangle">
              <a:avLst>
                <a:gd name="adj" fmla="val 50000"/>
              </a:avLst>
            </a:prstGeom>
            <a:solidFill>
              <a:srgbClr val="FFFFFF"/>
            </a:solidFill>
            <a:ln w="9525" algn="ctr">
              <a:solidFill>
                <a:srgbClr val="000000"/>
              </a:solidFill>
              <a:round/>
              <a:headEnd/>
              <a:tailEnd/>
            </a:ln>
          </xdr:spPr>
        </xdr:sp>
        <xdr:sp macro="" textlink="">
          <xdr:nvSpPr>
            <xdr:cNvPr id="34" name="Line 8"/>
            <xdr:cNvSpPr>
              <a:spLocks noChangeShapeType="1"/>
            </xdr:cNvSpPr>
          </xdr:nvSpPr>
          <xdr:spPr bwMode="auto">
            <a:xfrm>
              <a:off x="258" y="210"/>
              <a:ext cx="156" cy="75"/>
            </a:xfrm>
            <a:prstGeom prst="line">
              <a:avLst/>
            </a:prstGeom>
            <a:noFill/>
            <a:ln w="9525">
              <a:solidFill>
                <a:srgbClr val="FF00FF"/>
              </a:solidFill>
              <a:round/>
              <a:headEnd/>
              <a:tailEnd/>
            </a:ln>
            <a:extLst>
              <a:ext uri="{909E8E84-426E-40DD-AFC4-6F175D3DCCD1}">
                <a14:hiddenFill xmlns:a14="http://schemas.microsoft.com/office/drawing/2010/main">
                  <a:noFill/>
                </a14:hiddenFill>
              </a:ext>
            </a:extLst>
          </xdr:spPr>
        </xdr:sp>
        <xdr:sp macro="" textlink="">
          <xdr:nvSpPr>
            <xdr:cNvPr id="35" name="Line 9"/>
            <xdr:cNvSpPr>
              <a:spLocks noChangeShapeType="1"/>
            </xdr:cNvSpPr>
          </xdr:nvSpPr>
          <xdr:spPr bwMode="auto">
            <a:xfrm flipV="1">
              <a:off x="403" y="226"/>
              <a:ext cx="133" cy="60"/>
            </a:xfrm>
            <a:prstGeom prst="line">
              <a:avLst/>
            </a:prstGeom>
            <a:noFill/>
            <a:ln w="9525">
              <a:solidFill>
                <a:srgbClr val="FF00FF"/>
              </a:solidFill>
              <a:round/>
              <a:headEnd/>
              <a:tailEnd/>
            </a:ln>
            <a:extLst>
              <a:ext uri="{909E8E84-426E-40DD-AFC4-6F175D3DCCD1}">
                <a14:hiddenFill xmlns:a14="http://schemas.microsoft.com/office/drawing/2010/main">
                  <a:noFill/>
                </a14:hiddenFill>
              </a:ext>
            </a:extLst>
          </xdr:spPr>
        </xdr:sp>
        <xdr:sp macro="" textlink="">
          <xdr:nvSpPr>
            <xdr:cNvPr id="36" name="Line 10"/>
            <xdr:cNvSpPr>
              <a:spLocks noChangeShapeType="1"/>
            </xdr:cNvSpPr>
          </xdr:nvSpPr>
          <xdr:spPr bwMode="auto">
            <a:xfrm flipH="1">
              <a:off x="219" y="246"/>
              <a:ext cx="112" cy="6"/>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37" name="Line 11"/>
            <xdr:cNvSpPr>
              <a:spLocks noChangeShapeType="1"/>
            </xdr:cNvSpPr>
          </xdr:nvSpPr>
          <xdr:spPr bwMode="auto">
            <a:xfrm>
              <a:off x="451" y="264"/>
              <a:ext cx="112" cy="4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38" name="Text Box 17"/>
            <xdr:cNvSpPr txBox="1">
              <a:spLocks noChangeArrowheads="1"/>
            </xdr:cNvSpPr>
          </xdr:nvSpPr>
          <xdr:spPr bwMode="auto">
            <a:xfrm>
              <a:off x="268" y="229"/>
              <a:ext cx="59"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25 °</a:t>
              </a:r>
            </a:p>
          </xdr:txBody>
        </xdr:sp>
        <xdr:sp macro="" textlink="">
          <xdr:nvSpPr>
            <xdr:cNvPr id="39" name="Text Box 18"/>
            <xdr:cNvSpPr txBox="1">
              <a:spLocks noChangeArrowheads="1"/>
            </xdr:cNvSpPr>
          </xdr:nvSpPr>
          <xdr:spPr bwMode="auto">
            <a:xfrm>
              <a:off x="273" y="142"/>
              <a:ext cx="59"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n1 = 1,2</a:t>
              </a:r>
            </a:p>
          </xdr:txBody>
        </xdr:sp>
        <xdr:sp macro="" textlink="">
          <xdr:nvSpPr>
            <xdr:cNvPr id="40" name="Text Box 19"/>
            <xdr:cNvSpPr txBox="1">
              <a:spLocks noChangeArrowheads="1"/>
            </xdr:cNvSpPr>
          </xdr:nvSpPr>
          <xdr:spPr bwMode="auto">
            <a:xfrm>
              <a:off x="380" y="136"/>
              <a:ext cx="59"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t>
              </a:r>
            </a:p>
          </xdr:txBody>
        </xdr:sp>
        <xdr:sp macro="" textlink="">
          <xdr:nvSpPr>
            <xdr:cNvPr id="41" name="Text Box 20"/>
            <xdr:cNvSpPr txBox="1">
              <a:spLocks noChangeArrowheads="1"/>
            </xdr:cNvSpPr>
          </xdr:nvSpPr>
          <xdr:spPr bwMode="auto">
            <a:xfrm>
              <a:off x="480" y="251"/>
              <a:ext cx="91"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20,9025597 °</a:t>
              </a:r>
            </a:p>
          </xdr:txBody>
        </xdr:sp>
        <xdr:sp macro="" textlink="">
          <xdr:nvSpPr>
            <xdr:cNvPr id="42" name="Text Box 21"/>
            <xdr:cNvSpPr txBox="1">
              <a:spLocks noChangeArrowheads="1"/>
            </xdr:cNvSpPr>
          </xdr:nvSpPr>
          <xdr:spPr bwMode="auto">
            <a:xfrm>
              <a:off x="363" y="203"/>
              <a:ext cx="59" cy="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n2 = 1,6</a:t>
              </a:r>
            </a:p>
          </xdr:txBody>
        </xdr:sp>
        <xdr:sp macro="" textlink="">
          <xdr:nvSpPr>
            <xdr:cNvPr id="43" name="Line 23"/>
            <xdr:cNvSpPr>
              <a:spLocks noChangeShapeType="1"/>
            </xdr:cNvSpPr>
          </xdr:nvSpPr>
          <xdr:spPr bwMode="auto">
            <a:xfrm>
              <a:off x="331" y="246"/>
              <a:ext cx="119"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30" name="Freeform 27"/>
          <xdr:cNvSpPr>
            <a:spLocks/>
          </xdr:cNvSpPr>
        </xdr:nvSpPr>
        <xdr:spPr bwMode="auto">
          <a:xfrm>
            <a:off x="333" y="119"/>
            <a:ext cx="117" cy="145"/>
          </a:xfrm>
          <a:custGeom>
            <a:avLst/>
            <a:gdLst>
              <a:gd name="T0" fmla="*/ 0 w 117"/>
              <a:gd name="T1" fmla="*/ 126 h 145"/>
              <a:gd name="T2" fmla="*/ 54 w 117"/>
              <a:gd name="T3" fmla="*/ 0 h 145"/>
              <a:gd name="T4" fmla="*/ 117 w 117"/>
              <a:gd name="T5" fmla="*/ 145 h 145"/>
              <a:gd name="T6" fmla="*/ 0 w 117"/>
              <a:gd name="T7" fmla="*/ 126 h 145"/>
              <a:gd name="T8" fmla="*/ 0 60000 65536"/>
              <a:gd name="T9" fmla="*/ 0 60000 65536"/>
              <a:gd name="T10" fmla="*/ 0 60000 65536"/>
              <a:gd name="T11" fmla="*/ 0 60000 65536"/>
              <a:gd name="T12" fmla="*/ 0 w 117"/>
              <a:gd name="T13" fmla="*/ 0 h 145"/>
              <a:gd name="T14" fmla="*/ 117 w 117"/>
              <a:gd name="T15" fmla="*/ 145 h 145"/>
            </a:gdLst>
            <a:ahLst/>
            <a:cxnLst>
              <a:cxn ang="T8">
                <a:pos x="T0" y="T1"/>
              </a:cxn>
              <a:cxn ang="T9">
                <a:pos x="T2" y="T3"/>
              </a:cxn>
              <a:cxn ang="T10">
                <a:pos x="T4" y="T5"/>
              </a:cxn>
              <a:cxn ang="T11">
                <a:pos x="T6" y="T7"/>
              </a:cxn>
            </a:cxnLst>
            <a:rect l="T12" t="T13" r="T14" b="T15"/>
            <a:pathLst>
              <a:path w="117" h="145">
                <a:moveTo>
                  <a:pt x="0" y="126"/>
                </a:moveTo>
                <a:lnTo>
                  <a:pt x="54" y="0"/>
                </a:lnTo>
                <a:lnTo>
                  <a:pt x="117" y="145"/>
                </a:lnTo>
                <a:lnTo>
                  <a:pt x="0" y="126"/>
                </a:lnTo>
                <a:close/>
              </a:path>
            </a:pathLst>
          </a:custGeom>
          <a:solidFill>
            <a:srgbClr val="FF0000">
              <a:alpha val="23137"/>
            </a:srgbClr>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sp macro="" textlink="">
        <xdr:nvSpPr>
          <xdr:cNvPr id="31" name="Freeform 28"/>
          <xdr:cNvSpPr>
            <a:spLocks/>
          </xdr:cNvSpPr>
        </xdr:nvSpPr>
        <xdr:spPr bwMode="auto">
          <a:xfrm>
            <a:off x="334" y="247"/>
            <a:ext cx="50" cy="22"/>
          </a:xfrm>
          <a:custGeom>
            <a:avLst/>
            <a:gdLst>
              <a:gd name="T0" fmla="*/ 0 w 50"/>
              <a:gd name="T1" fmla="*/ 0 h 22"/>
              <a:gd name="T2" fmla="*/ 46 w 50"/>
              <a:gd name="T3" fmla="*/ 22 h 22"/>
              <a:gd name="T4" fmla="*/ 50 w 50"/>
              <a:gd name="T5" fmla="*/ 8 h 22"/>
              <a:gd name="T6" fmla="*/ 0 w 50"/>
              <a:gd name="T7" fmla="*/ 0 h 22"/>
              <a:gd name="T8" fmla="*/ 0 60000 65536"/>
              <a:gd name="T9" fmla="*/ 0 60000 65536"/>
              <a:gd name="T10" fmla="*/ 0 60000 65536"/>
              <a:gd name="T11" fmla="*/ 0 60000 65536"/>
              <a:gd name="T12" fmla="*/ 0 w 50"/>
              <a:gd name="T13" fmla="*/ 0 h 22"/>
              <a:gd name="T14" fmla="*/ 50 w 50"/>
              <a:gd name="T15" fmla="*/ 22 h 22"/>
            </a:gdLst>
            <a:ahLst/>
            <a:cxnLst>
              <a:cxn ang="T8">
                <a:pos x="T0" y="T1"/>
              </a:cxn>
              <a:cxn ang="T9">
                <a:pos x="T2" y="T3"/>
              </a:cxn>
              <a:cxn ang="T10">
                <a:pos x="T4" y="T5"/>
              </a:cxn>
              <a:cxn ang="T11">
                <a:pos x="T6" y="T7"/>
              </a:cxn>
            </a:cxnLst>
            <a:rect l="T12" t="T13" r="T14" b="T15"/>
            <a:pathLst>
              <a:path w="50" h="22">
                <a:moveTo>
                  <a:pt x="0" y="0"/>
                </a:moveTo>
                <a:lnTo>
                  <a:pt x="46" y="22"/>
                </a:lnTo>
                <a:lnTo>
                  <a:pt x="50" y="8"/>
                </a:lnTo>
                <a:lnTo>
                  <a:pt x="0" y="0"/>
                </a:lnTo>
                <a:close/>
              </a:path>
            </a:pathLst>
          </a:custGeom>
          <a:solidFill>
            <a:srgbClr val="00FF00">
              <a:alpha val="32156"/>
            </a:srgbClr>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sp macro="" textlink="">
        <xdr:nvSpPr>
          <xdr:cNvPr id="32" name="Freeform 29"/>
          <xdr:cNvSpPr>
            <a:spLocks/>
          </xdr:cNvSpPr>
        </xdr:nvSpPr>
        <xdr:spPr bwMode="auto">
          <a:xfrm>
            <a:off x="421" y="260"/>
            <a:ext cx="29" cy="17"/>
          </a:xfrm>
          <a:custGeom>
            <a:avLst/>
            <a:gdLst>
              <a:gd name="T0" fmla="*/ 29 w 29"/>
              <a:gd name="T1" fmla="*/ 5 h 17"/>
              <a:gd name="T2" fmla="*/ 1 w 29"/>
              <a:gd name="T3" fmla="*/ 17 h 17"/>
              <a:gd name="T4" fmla="*/ 0 w 29"/>
              <a:gd name="T5" fmla="*/ 0 h 17"/>
              <a:gd name="T6" fmla="*/ 29 w 29"/>
              <a:gd name="T7" fmla="*/ 5 h 17"/>
              <a:gd name="T8" fmla="*/ 0 60000 65536"/>
              <a:gd name="T9" fmla="*/ 0 60000 65536"/>
              <a:gd name="T10" fmla="*/ 0 60000 65536"/>
              <a:gd name="T11" fmla="*/ 0 60000 65536"/>
              <a:gd name="T12" fmla="*/ 0 w 29"/>
              <a:gd name="T13" fmla="*/ 0 h 17"/>
              <a:gd name="T14" fmla="*/ 29 w 29"/>
              <a:gd name="T15" fmla="*/ 17 h 17"/>
            </a:gdLst>
            <a:ahLst/>
            <a:cxnLst>
              <a:cxn ang="T8">
                <a:pos x="T0" y="T1"/>
              </a:cxn>
              <a:cxn ang="T9">
                <a:pos x="T2" y="T3"/>
              </a:cxn>
              <a:cxn ang="T10">
                <a:pos x="T4" y="T5"/>
              </a:cxn>
              <a:cxn ang="T11">
                <a:pos x="T6" y="T7"/>
              </a:cxn>
            </a:cxnLst>
            <a:rect l="T12" t="T13" r="T14" b="T15"/>
            <a:pathLst>
              <a:path w="29" h="17">
                <a:moveTo>
                  <a:pt x="29" y="5"/>
                </a:moveTo>
                <a:lnTo>
                  <a:pt x="1" y="17"/>
                </a:lnTo>
                <a:lnTo>
                  <a:pt x="0" y="0"/>
                </a:lnTo>
                <a:lnTo>
                  <a:pt x="29" y="5"/>
                </a:lnTo>
                <a:close/>
              </a:path>
            </a:pathLst>
          </a:custGeom>
          <a:solidFill>
            <a:srgbClr val="99CCFF">
              <a:alpha val="52156"/>
            </a:srgbClr>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grpSp>
    <xdr:clientData/>
  </xdr:twoCellAnchor>
  <xdr:twoCellAnchor>
    <xdr:from>
      <xdr:col>3</xdr:col>
      <xdr:colOff>142875</xdr:colOff>
      <xdr:row>95</xdr:row>
      <xdr:rowOff>123825</xdr:rowOff>
    </xdr:from>
    <xdr:to>
      <xdr:col>3</xdr:col>
      <xdr:colOff>552450</xdr:colOff>
      <xdr:row>97</xdr:row>
      <xdr:rowOff>47625</xdr:rowOff>
    </xdr:to>
    <xdr:sp macro="" textlink="">
      <xdr:nvSpPr>
        <xdr:cNvPr id="44" name="Line 5728"/>
        <xdr:cNvSpPr>
          <a:spLocks noChangeShapeType="1"/>
        </xdr:cNvSpPr>
      </xdr:nvSpPr>
      <xdr:spPr bwMode="auto">
        <a:xfrm flipV="1">
          <a:off x="3467100" y="7410450"/>
          <a:ext cx="409575"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1809750</xdr:colOff>
          <xdr:row>8</xdr:row>
          <xdr:rowOff>9525</xdr:rowOff>
        </xdr:from>
        <xdr:to>
          <xdr:col>6</xdr:col>
          <xdr:colOff>695325</xdr:colOff>
          <xdr:row>40</xdr:row>
          <xdr:rowOff>123825</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xdr:twoCellAnchor>
    <xdr:from>
      <xdr:col>7</xdr:col>
      <xdr:colOff>57150</xdr:colOff>
      <xdr:row>87</xdr:row>
      <xdr:rowOff>38100</xdr:rowOff>
    </xdr:from>
    <xdr:to>
      <xdr:col>9</xdr:col>
      <xdr:colOff>723900</xdr:colOff>
      <xdr:row>92</xdr:row>
      <xdr:rowOff>114300</xdr:rowOff>
    </xdr:to>
    <xdr:grpSp>
      <xdr:nvGrpSpPr>
        <xdr:cNvPr id="74" name="Gruppieren 18"/>
        <xdr:cNvGrpSpPr>
          <a:grpSpLocks/>
        </xdr:cNvGrpSpPr>
      </xdr:nvGrpSpPr>
      <xdr:grpSpPr bwMode="auto">
        <a:xfrm>
          <a:off x="6429375" y="14125575"/>
          <a:ext cx="2190750" cy="885825"/>
          <a:chOff x="4336002" y="12377054"/>
          <a:chExt cx="2192736" cy="886113"/>
        </a:xfrm>
      </xdr:grpSpPr>
      <xdr:grpSp>
        <xdr:nvGrpSpPr>
          <xdr:cNvPr id="75" name="Gruppieren 19"/>
          <xdr:cNvGrpSpPr>
            <a:grpSpLocks/>
          </xdr:cNvGrpSpPr>
        </xdr:nvGrpSpPr>
        <xdr:grpSpPr bwMode="auto">
          <a:xfrm>
            <a:off x="4336002" y="12377054"/>
            <a:ext cx="2192736" cy="886113"/>
            <a:chOff x="4370638" y="10584622"/>
            <a:chExt cx="2192736" cy="886113"/>
          </a:xfrm>
        </xdr:grpSpPr>
        <xdr:grpSp>
          <xdr:nvGrpSpPr>
            <xdr:cNvPr id="77" name="Gruppieren 21"/>
            <xdr:cNvGrpSpPr>
              <a:grpSpLocks/>
            </xdr:cNvGrpSpPr>
          </xdr:nvGrpSpPr>
          <xdr:grpSpPr bwMode="auto">
            <a:xfrm>
              <a:off x="4370638" y="10584622"/>
              <a:ext cx="2192736" cy="886113"/>
              <a:chOff x="970359" y="7244955"/>
              <a:chExt cx="2192736" cy="857250"/>
            </a:xfrm>
          </xdr:grpSpPr>
          <xdr:cxnSp macro="">
            <xdr:nvCxnSpPr>
              <xdr:cNvPr id="81" name="Gerade Verbindung 80"/>
              <xdr:cNvCxnSpPr/>
            </xdr:nvCxnSpPr>
            <xdr:spPr bwMode="auto">
              <a:xfrm>
                <a:off x="2448072" y="7816455"/>
                <a:ext cx="715023" cy="119831"/>
              </a:xfrm>
              <a:prstGeom prst="line">
                <a:avLst/>
              </a:prstGeom>
              <a:ln>
                <a:headEnd type="none" w="med" len="med"/>
                <a:tailEnd type="none" w="med" len="med"/>
              </a:ln>
            </xdr:spPr>
            <xdr:style>
              <a:lnRef idx="3">
                <a:schemeClr val="accent2"/>
              </a:lnRef>
              <a:fillRef idx="0">
                <a:schemeClr val="accent2"/>
              </a:fillRef>
              <a:effectRef idx="2">
                <a:schemeClr val="accent2"/>
              </a:effectRef>
              <a:fontRef idx="minor">
                <a:schemeClr val="tx1"/>
              </a:fontRef>
            </xdr:style>
          </xdr:cxnSp>
          <xdr:grpSp>
            <xdr:nvGrpSpPr>
              <xdr:cNvPr id="82" name="Gruppieren 26"/>
              <xdr:cNvGrpSpPr>
                <a:grpSpLocks/>
              </xdr:cNvGrpSpPr>
            </xdr:nvGrpSpPr>
            <xdr:grpSpPr bwMode="auto">
              <a:xfrm>
                <a:off x="970359" y="7244955"/>
                <a:ext cx="1924845" cy="857250"/>
                <a:chOff x="970359" y="7244955"/>
                <a:chExt cx="1924845" cy="857250"/>
              </a:xfrm>
            </xdr:grpSpPr>
            <xdr:sp macro="" textlink="">
              <xdr:nvSpPr>
                <xdr:cNvPr id="83" name="Gleichschenkliges Dreieck 27"/>
                <xdr:cNvSpPr>
                  <a:spLocks noChangeArrowheads="1"/>
                </xdr:cNvSpPr>
              </xdr:nvSpPr>
              <xdr:spPr bwMode="auto">
                <a:xfrm>
                  <a:off x="1512092" y="7244955"/>
                  <a:ext cx="1099429" cy="857250"/>
                </a:xfrm>
                <a:prstGeom prst="triangle">
                  <a:avLst>
                    <a:gd name="adj" fmla="val 50000"/>
                  </a:avLst>
                </a:prstGeom>
                <a:solidFill>
                  <a:srgbClr val="FFFFFF"/>
                </a:solidFill>
                <a:ln w="9525" algn="ctr">
                  <a:solidFill>
                    <a:srgbClr val="000000"/>
                  </a:solidFill>
                  <a:round/>
                  <a:headEnd/>
                  <a:tailEnd/>
                </a:ln>
              </xdr:spPr>
            </xdr:sp>
            <xdr:cxnSp macro="">
              <xdr:nvCxnSpPr>
                <xdr:cNvPr id="84" name="Gerade Verbindung 83"/>
                <xdr:cNvCxnSpPr/>
              </xdr:nvCxnSpPr>
              <xdr:spPr bwMode="auto">
                <a:xfrm>
                  <a:off x="1713982" y="7816455"/>
                  <a:ext cx="715022" cy="0"/>
                </a:xfrm>
                <a:prstGeom prst="line">
                  <a:avLst/>
                </a:prstGeom>
                <a:ln>
                  <a:headEnd type="none" w="med" len="med"/>
                  <a:tailEnd type="none" w="med" len="med"/>
                </a:ln>
              </xdr:spPr>
              <xdr:style>
                <a:lnRef idx="3">
                  <a:schemeClr val="accent2"/>
                </a:lnRef>
                <a:fillRef idx="0">
                  <a:schemeClr val="accent2"/>
                </a:fillRef>
                <a:effectRef idx="2">
                  <a:schemeClr val="accent2"/>
                </a:effectRef>
                <a:fontRef idx="minor">
                  <a:schemeClr val="tx1"/>
                </a:fontRef>
              </xdr:style>
            </xdr:cxnSp>
            <xdr:cxnSp macro="">
              <xdr:nvCxnSpPr>
                <xdr:cNvPr id="85" name="Gerade Verbindung 84"/>
                <xdr:cNvCxnSpPr/>
              </xdr:nvCxnSpPr>
              <xdr:spPr bwMode="auto">
                <a:xfrm flipV="1">
                  <a:off x="970359" y="7807237"/>
                  <a:ext cx="734090" cy="138266"/>
                </a:xfrm>
                <a:prstGeom prst="line">
                  <a:avLst/>
                </a:prstGeom>
                <a:ln>
                  <a:headEnd type="none" w="med" len="med"/>
                  <a:tailEnd type="none" w="med" len="med"/>
                </a:ln>
              </xdr:spPr>
              <xdr:style>
                <a:lnRef idx="3">
                  <a:schemeClr val="accent2"/>
                </a:lnRef>
                <a:fillRef idx="0">
                  <a:schemeClr val="accent2"/>
                </a:fillRef>
                <a:effectRef idx="2">
                  <a:schemeClr val="accent2"/>
                </a:effectRef>
                <a:fontRef idx="minor">
                  <a:schemeClr val="tx1"/>
                </a:fontRef>
              </xdr:style>
            </xdr:cxnSp>
            <xdr:cxnSp macro="">
              <xdr:nvCxnSpPr>
                <xdr:cNvPr id="86" name="Gerade Verbindung 30"/>
                <xdr:cNvCxnSpPr>
                  <a:cxnSpLocks noChangeShapeType="1"/>
                </xdr:cNvCxnSpPr>
              </xdr:nvCxnSpPr>
              <xdr:spPr bwMode="auto">
                <a:xfrm flipV="1">
                  <a:off x="2119313" y="7544593"/>
                  <a:ext cx="775891" cy="46434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 name="Gerade Verbindung 31"/>
                <xdr:cNvCxnSpPr>
                  <a:cxnSpLocks noChangeShapeType="1"/>
                </xdr:cNvCxnSpPr>
              </xdr:nvCxnSpPr>
              <xdr:spPr bwMode="auto">
                <a:xfrm>
                  <a:off x="1247776" y="7536260"/>
                  <a:ext cx="758427" cy="44886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grpSp>
        <xdr:sp macro="" textlink="">
          <xdr:nvSpPr>
            <xdr:cNvPr id="78" name="Textfeld 77"/>
            <xdr:cNvSpPr txBox="1"/>
          </xdr:nvSpPr>
          <xdr:spPr>
            <a:xfrm>
              <a:off x="5123795" y="10927633"/>
              <a:ext cx="419480" cy="295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t>60 °</a:t>
              </a:r>
            </a:p>
          </xdr:txBody>
        </xdr:sp>
        <xdr:sp macro="" textlink="">
          <xdr:nvSpPr>
            <xdr:cNvPr id="79" name="Textfeld 78"/>
            <xdr:cNvSpPr txBox="1"/>
          </xdr:nvSpPr>
          <xdr:spPr>
            <a:xfrm>
              <a:off x="4475508" y="10984802"/>
              <a:ext cx="486215" cy="295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t>43,4 °</a:t>
              </a:r>
            </a:p>
          </xdr:txBody>
        </xdr:sp>
        <xdr:sp macro="" textlink="">
          <xdr:nvSpPr>
            <xdr:cNvPr id="80" name="Textfeld 79"/>
            <xdr:cNvSpPr txBox="1"/>
          </xdr:nvSpPr>
          <xdr:spPr>
            <a:xfrm>
              <a:off x="5324001" y="11156308"/>
              <a:ext cx="419480" cy="295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t>30 °</a:t>
              </a:r>
            </a:p>
          </xdr:txBody>
        </xdr:sp>
      </xdr:grpSp>
      <xdr:sp macro="" textlink="">
        <xdr:nvSpPr>
          <xdr:cNvPr id="76" name="Textfeld 75"/>
          <xdr:cNvSpPr txBox="1"/>
        </xdr:nvSpPr>
        <xdr:spPr>
          <a:xfrm>
            <a:off x="6013922" y="12758178"/>
            <a:ext cx="495749" cy="295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t>43,4 °</a:t>
            </a:r>
          </a:p>
        </xdr:txBody>
      </xdr:sp>
    </xdr:grpSp>
    <xdr:clientData/>
  </xdr:twoCellAnchor>
  <xdr:twoCellAnchor editAs="oneCell">
    <xdr:from>
      <xdr:col>10</xdr:col>
      <xdr:colOff>0</xdr:colOff>
      <xdr:row>11</xdr:row>
      <xdr:rowOff>0</xdr:rowOff>
    </xdr:from>
    <xdr:to>
      <xdr:col>13</xdr:col>
      <xdr:colOff>571500</xdr:colOff>
      <xdr:row>28</xdr:row>
      <xdr:rowOff>104775</xdr:rowOff>
    </xdr:to>
    <xdr:pic>
      <xdr:nvPicPr>
        <xdr:cNvPr id="89" name="Grafik 88" descr="Bildergebnis für glaspris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8225" y="1781175"/>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85725</xdr:colOff>
      <xdr:row>3</xdr:row>
      <xdr:rowOff>9525</xdr:rowOff>
    </xdr:from>
    <xdr:to>
      <xdr:col>18</xdr:col>
      <xdr:colOff>246678</xdr:colOff>
      <xdr:row>37</xdr:row>
      <xdr:rowOff>56456</xdr:rowOff>
    </xdr:to>
    <xdr:pic>
      <xdr:nvPicPr>
        <xdr:cNvPr id="2" name="Grafik 1"/>
        <xdr:cNvPicPr>
          <a:picLocks noChangeAspect="1"/>
        </xdr:cNvPicPr>
      </xdr:nvPicPr>
      <xdr:blipFill>
        <a:blip xmlns:r="http://schemas.openxmlformats.org/officeDocument/2006/relationships" r:embed="rId1"/>
        <a:stretch>
          <a:fillRect/>
        </a:stretch>
      </xdr:blipFill>
      <xdr:spPr>
        <a:xfrm>
          <a:off x="7620000" y="495300"/>
          <a:ext cx="7780953" cy="5552381"/>
        </a:xfrm>
        <a:prstGeom prst="rect">
          <a:avLst/>
        </a:prstGeom>
      </xdr:spPr>
    </xdr:pic>
    <xdr:clientData/>
  </xdr:twoCellAnchor>
  <xdr:twoCellAnchor editAs="oneCell">
    <xdr:from>
      <xdr:col>8</xdr:col>
      <xdr:colOff>9525</xdr:colOff>
      <xdr:row>44</xdr:row>
      <xdr:rowOff>28575</xdr:rowOff>
    </xdr:from>
    <xdr:to>
      <xdr:col>19</xdr:col>
      <xdr:colOff>637049</xdr:colOff>
      <xdr:row>77</xdr:row>
      <xdr:rowOff>94574</xdr:rowOff>
    </xdr:to>
    <xdr:pic>
      <xdr:nvPicPr>
        <xdr:cNvPr id="3" name="Grafik 2"/>
        <xdr:cNvPicPr>
          <a:picLocks noChangeAspect="1"/>
        </xdr:cNvPicPr>
      </xdr:nvPicPr>
      <xdr:blipFill>
        <a:blip xmlns:r="http://schemas.openxmlformats.org/officeDocument/2006/relationships" r:embed="rId2"/>
        <a:stretch>
          <a:fillRect/>
        </a:stretch>
      </xdr:blipFill>
      <xdr:spPr>
        <a:xfrm>
          <a:off x="7543800" y="7162800"/>
          <a:ext cx="9009524" cy="5409524"/>
        </a:xfrm>
        <a:prstGeom prst="rect">
          <a:avLst/>
        </a:prstGeom>
      </xdr:spPr>
    </xdr:pic>
    <xdr:clientData/>
  </xdr:twoCellAnchor>
  <xdr:twoCellAnchor>
    <xdr:from>
      <xdr:col>8</xdr:col>
      <xdr:colOff>95250</xdr:colOff>
      <xdr:row>38</xdr:row>
      <xdr:rowOff>0</xdr:rowOff>
    </xdr:from>
    <xdr:to>
      <xdr:col>16</xdr:col>
      <xdr:colOff>657225</xdr:colOff>
      <xdr:row>44</xdr:row>
      <xdr:rowOff>0</xdr:rowOff>
    </xdr:to>
    <xdr:sp macro="" textlink="">
      <xdr:nvSpPr>
        <xdr:cNvPr id="4" name="Textfeld 3"/>
        <xdr:cNvSpPr txBox="1"/>
      </xdr:nvSpPr>
      <xdr:spPr>
        <a:xfrm>
          <a:off x="7629525" y="6153150"/>
          <a:ext cx="66579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Die Formelgrößen verlangen noch etwas Interpretation. So ist r1 der Radius der Linsenoberfläche, die dem Objekt zugewandt ist und r2 entsprechend der Radius der entgegen gesetzten, dem Bild zugewandten Linsenoberfläche. Das Vorzeichen des Radius ist positiv, wenn die Linsenwölbung hin zum Objekt zeigt. Zeigt sie zum Bild hin, so ist sie negativ. </a:t>
          </a:r>
          <a:endParaRPr lang="de-DE"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161925</xdr:colOff>
      <xdr:row>3</xdr:row>
      <xdr:rowOff>247650</xdr:rowOff>
    </xdr:from>
    <xdr:to>
      <xdr:col>15</xdr:col>
      <xdr:colOff>323850</xdr:colOff>
      <xdr:row>13</xdr:row>
      <xdr:rowOff>79896</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733425"/>
          <a:ext cx="10058400" cy="562344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638175</xdr:colOff>
      <xdr:row>37</xdr:row>
      <xdr:rowOff>28575</xdr:rowOff>
    </xdr:from>
    <xdr:to>
      <xdr:col>22</xdr:col>
      <xdr:colOff>114300</xdr:colOff>
      <xdr:row>74</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37</xdr:row>
      <xdr:rowOff>28575</xdr:rowOff>
    </xdr:from>
    <xdr:to>
      <xdr:col>6</xdr:col>
      <xdr:colOff>66675</xdr:colOff>
      <xdr:row>74</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114300</xdr:colOff>
      <xdr:row>37</xdr:row>
      <xdr:rowOff>9525</xdr:rowOff>
    </xdr:from>
    <xdr:to>
      <xdr:col>13</xdr:col>
      <xdr:colOff>561975</xdr:colOff>
      <xdr:row>75</xdr:row>
      <xdr:rowOff>19050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9525</xdr:colOff>
      <xdr:row>93</xdr:row>
      <xdr:rowOff>9525</xdr:rowOff>
    </xdr:from>
    <xdr:to>
      <xdr:col>27</xdr:col>
      <xdr:colOff>466725</xdr:colOff>
      <xdr:row>119</xdr:row>
      <xdr:rowOff>57150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9525</xdr:colOff>
      <xdr:row>120</xdr:row>
      <xdr:rowOff>28575</xdr:rowOff>
    </xdr:from>
    <xdr:to>
      <xdr:col>27</xdr:col>
      <xdr:colOff>419100</xdr:colOff>
      <xdr:row>147</xdr:row>
      <xdr:rowOff>47625</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31</xdr:row>
      <xdr:rowOff>123825</xdr:rowOff>
    </xdr:from>
    <xdr:to>
      <xdr:col>6</xdr:col>
      <xdr:colOff>0</xdr:colOff>
      <xdr:row>52</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228600</xdr:colOff>
      <xdr:row>31</xdr:row>
      <xdr:rowOff>123825</xdr:rowOff>
    </xdr:from>
    <xdr:to>
      <xdr:col>16</xdr:col>
      <xdr:colOff>295275</xdr:colOff>
      <xdr:row>52</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53</xdr:row>
      <xdr:rowOff>95250</xdr:rowOff>
    </xdr:from>
    <xdr:to>
      <xdr:col>8</xdr:col>
      <xdr:colOff>571500</xdr:colOff>
      <xdr:row>73</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520996</xdr:colOff>
      <xdr:row>42</xdr:row>
      <xdr:rowOff>34925</xdr:rowOff>
    </xdr:from>
    <xdr:to>
      <xdr:col>14</xdr:col>
      <xdr:colOff>168275</xdr:colOff>
      <xdr:row>63</xdr:row>
      <xdr:rowOff>119100</xdr:rowOff>
    </xdr:to>
    <xdr:grpSp>
      <xdr:nvGrpSpPr>
        <xdr:cNvPr id="2" name="Group 1"/>
        <xdr:cNvGrpSpPr>
          <a:grpSpLocks/>
        </xdr:cNvGrpSpPr>
      </xdr:nvGrpSpPr>
      <xdr:grpSpPr bwMode="auto">
        <a:xfrm>
          <a:off x="9104079" y="8173508"/>
          <a:ext cx="6219529" cy="4137592"/>
          <a:chOff x="614" y="618"/>
          <a:chExt cx="549" cy="277"/>
        </a:xfrm>
      </xdr:grpSpPr>
      <xdr:sp macro="" textlink="">
        <xdr:nvSpPr>
          <xdr:cNvPr id="3" name="Rectangle 2"/>
          <xdr:cNvSpPr>
            <a:spLocks noChangeArrowheads="1"/>
          </xdr:cNvSpPr>
        </xdr:nvSpPr>
        <xdr:spPr bwMode="auto">
          <a:xfrm rot="13554484">
            <a:off x="606" y="817"/>
            <a:ext cx="86" cy="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Line 4"/>
          <xdr:cNvSpPr>
            <a:spLocks noChangeShapeType="1"/>
          </xdr:cNvSpPr>
        </xdr:nvSpPr>
        <xdr:spPr bwMode="auto">
          <a:xfrm flipV="1">
            <a:off x="625" y="618"/>
            <a:ext cx="285" cy="2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5"/>
          <xdr:cNvSpPr>
            <a:spLocks noChangeShapeType="1"/>
          </xdr:cNvSpPr>
        </xdr:nvSpPr>
        <xdr:spPr bwMode="auto">
          <a:xfrm flipV="1">
            <a:off x="623" y="743"/>
            <a:ext cx="540" cy="1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AutoShape 6"/>
          <xdr:cNvSpPr>
            <a:spLocks noChangeArrowheads="1"/>
          </xdr:cNvSpPr>
        </xdr:nvSpPr>
        <xdr:spPr bwMode="auto">
          <a:xfrm>
            <a:off x="997" y="631"/>
            <a:ext cx="44" cy="67"/>
          </a:xfrm>
          <a:prstGeom prst="flowChartMagneticDisk">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 name="AutoShape 7"/>
          <xdr:cNvSpPr>
            <a:spLocks noChangeArrowheads="1"/>
          </xdr:cNvSpPr>
        </xdr:nvSpPr>
        <xdr:spPr bwMode="auto">
          <a:xfrm>
            <a:off x="795" y="723"/>
            <a:ext cx="44" cy="67"/>
          </a:xfrm>
          <a:prstGeom prst="flowChartMagneticDisk">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17</xdr:col>
      <xdr:colOff>123825</xdr:colOff>
      <xdr:row>84</xdr:row>
      <xdr:rowOff>76200</xdr:rowOff>
    </xdr:from>
    <xdr:to>
      <xdr:col>27</xdr:col>
      <xdr:colOff>419100</xdr:colOff>
      <xdr:row>114</xdr:row>
      <xdr:rowOff>57150</xdr:rowOff>
    </xdr:to>
    <xdr:graphicFrame macro="">
      <xdr:nvGraphicFramePr>
        <xdr:cNvPr id="8"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476250</xdr:colOff>
      <xdr:row>216</xdr:row>
      <xdr:rowOff>107950</xdr:rowOff>
    </xdr:from>
    <xdr:to>
      <xdr:col>17</xdr:col>
      <xdr:colOff>673100</xdr:colOff>
      <xdr:row>251</xdr:row>
      <xdr:rowOff>139700</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304801</xdr:colOff>
      <xdr:row>400</xdr:row>
      <xdr:rowOff>9525</xdr:rowOff>
    </xdr:from>
    <xdr:to>
      <xdr:col>6</xdr:col>
      <xdr:colOff>232833</xdr:colOff>
      <xdr:row>409</xdr:row>
      <xdr:rowOff>0</xdr:rowOff>
    </xdr:to>
    <xdr:graphicFrame macro="">
      <xdr:nvGraphicFramePr>
        <xdr:cNvPr id="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152400</xdr:colOff>
      <xdr:row>400</xdr:row>
      <xdr:rowOff>9525</xdr:rowOff>
    </xdr:from>
    <xdr:to>
      <xdr:col>13</xdr:col>
      <xdr:colOff>180975</xdr:colOff>
      <xdr:row>409</xdr:row>
      <xdr:rowOff>0</xdr:rowOff>
    </xdr:to>
    <xdr:graphicFrame macro="">
      <xdr:nvGraphicFramePr>
        <xdr:cNvPr id="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485774</xdr:colOff>
      <xdr:row>20</xdr:row>
      <xdr:rowOff>57150</xdr:rowOff>
    </xdr:from>
    <xdr:to>
      <xdr:col>8</xdr:col>
      <xdr:colOff>533401</xdr:colOff>
      <xdr:row>33</xdr:row>
      <xdr:rowOff>123825</xdr:rowOff>
    </xdr:to>
    <xdr:grpSp>
      <xdr:nvGrpSpPr>
        <xdr:cNvPr id="2" name="Gruppieren 1"/>
        <xdr:cNvGrpSpPr/>
      </xdr:nvGrpSpPr>
      <xdr:grpSpPr>
        <a:xfrm>
          <a:off x="485774" y="3295650"/>
          <a:ext cx="7458077" cy="2171700"/>
          <a:chOff x="4095749" y="8162925"/>
          <a:chExt cx="5953127" cy="2171700"/>
        </a:xfrm>
      </xdr:grpSpPr>
      <xdr:sp macro="" textlink="">
        <xdr:nvSpPr>
          <xdr:cNvPr id="3" name="Rechtwinkliges Dreieck 2"/>
          <xdr:cNvSpPr/>
        </xdr:nvSpPr>
        <xdr:spPr bwMode="auto">
          <a:xfrm flipH="1">
            <a:off x="4095749" y="8162925"/>
            <a:ext cx="4000500" cy="1019175"/>
          </a:xfrm>
          <a:prstGeom prst="rtTriangle">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4" name="Textfeld 3"/>
          <xdr:cNvSpPr txBox="1"/>
        </xdr:nvSpPr>
        <xdr:spPr>
          <a:xfrm>
            <a:off x="5848349" y="9201150"/>
            <a:ext cx="19526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Brennweite (bzw.</a:t>
            </a:r>
            <a:r>
              <a:rPr lang="de-DE" sz="1100" baseline="0"/>
              <a:t> Bildweite)</a:t>
            </a:r>
            <a:endParaRPr lang="de-DE" sz="1100"/>
          </a:p>
        </xdr:txBody>
      </xdr:sp>
      <xdr:sp macro="" textlink="">
        <xdr:nvSpPr>
          <xdr:cNvPr id="5" name="Textfeld 4"/>
          <xdr:cNvSpPr txBox="1"/>
        </xdr:nvSpPr>
        <xdr:spPr>
          <a:xfrm>
            <a:off x="8039100" y="8534400"/>
            <a:ext cx="200977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halbe Diagonale des Bildkreises</a:t>
            </a:r>
          </a:p>
        </xdr:txBody>
      </xdr:sp>
      <xdr:sp macro="" textlink="">
        <xdr:nvSpPr>
          <xdr:cNvPr id="6" name="Textfeld 5"/>
          <xdr:cNvSpPr txBox="1"/>
        </xdr:nvSpPr>
        <xdr:spPr>
          <a:xfrm rot="21266140">
            <a:off x="4857750" y="8896350"/>
            <a:ext cx="12668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halber</a:t>
            </a:r>
            <a:r>
              <a:rPr lang="de-DE" sz="1100" baseline="0"/>
              <a:t> Bildwinkel</a:t>
            </a:r>
            <a:endParaRPr lang="de-DE" sz="1100"/>
          </a:p>
        </xdr:txBody>
      </xdr:sp>
      <xdr:sp macro="" textlink="">
        <xdr:nvSpPr>
          <xdr:cNvPr id="7" name="Textfeld 6"/>
          <xdr:cNvSpPr txBox="1"/>
        </xdr:nvSpPr>
        <xdr:spPr>
          <a:xfrm>
            <a:off x="4162424" y="9544050"/>
            <a:ext cx="442912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tan(halber Bildwinkel ) =</a:t>
            </a:r>
            <a:r>
              <a:rPr lang="de-DE" sz="1100" baseline="0"/>
              <a:t> halbe Bildkreisdiagonale / </a:t>
            </a:r>
            <a:r>
              <a:rPr lang="de-DE" sz="1100"/>
              <a:t>Brennweite</a:t>
            </a:r>
          </a:p>
          <a:p>
            <a:endParaRPr lang="de-DE" sz="1100"/>
          </a:p>
          <a:p>
            <a:r>
              <a:rPr lang="de-DE" sz="1100"/>
              <a:t>Bildwinkel</a:t>
            </a:r>
            <a:r>
              <a:rPr lang="de-DE" sz="1100" baseline="0"/>
              <a:t> in Grad  </a:t>
            </a:r>
            <a:r>
              <a:rPr lang="de-DE" sz="1100"/>
              <a:t>=2* GRAD(ARCTAN((Diagonale/2)/Brennweite))   oder</a:t>
            </a:r>
          </a:p>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Bildwinkel</a:t>
            </a:r>
            <a:r>
              <a:rPr lang="de-DE" sz="1100" baseline="0">
                <a:solidFill>
                  <a:schemeClr val="dk1"/>
                </a:solidFill>
                <a:effectLst/>
                <a:latin typeface="+mn-lt"/>
                <a:ea typeface="+mn-ea"/>
                <a:cs typeface="+mn-cs"/>
              </a:rPr>
              <a:t> in Grad  </a:t>
            </a:r>
            <a:r>
              <a:rPr lang="de-DE" sz="1100">
                <a:solidFill>
                  <a:schemeClr val="dk1"/>
                </a:solidFill>
                <a:effectLst/>
                <a:latin typeface="+mn-lt"/>
                <a:ea typeface="+mn-ea"/>
                <a:cs typeface="+mn-cs"/>
              </a:rPr>
              <a:t>=2* GRAD(ARCTAN(Diagonale/ (2 * Brennweite)))</a:t>
            </a:r>
            <a:endParaRPr lang="de-DE">
              <a:effectLst/>
            </a:endParaRPr>
          </a:p>
          <a:p>
            <a:endParaRPr lang="de-DE" sz="1100"/>
          </a:p>
        </xdr:txBody>
      </xdr:sp>
    </xdr:grpSp>
    <xdr:clientData/>
  </xdr:twoCellAnchor>
  <xdr:twoCellAnchor editAs="oneCell">
    <xdr:from>
      <xdr:col>8</xdr:col>
      <xdr:colOff>616264</xdr:colOff>
      <xdr:row>3</xdr:row>
      <xdr:rowOff>66674</xdr:rowOff>
    </xdr:from>
    <xdr:to>
      <xdr:col>15</xdr:col>
      <xdr:colOff>561975</xdr:colOff>
      <xdr:row>26</xdr:row>
      <xdr:rowOff>142874</xdr:rowOff>
    </xdr:to>
    <xdr:pic>
      <xdr:nvPicPr>
        <xdr:cNvPr id="8" name="Grafik 7" descr="https://upload.wikimedia.org/wikipedia/commons/thumb/2/25/Sensorformate.svg/524px-Sensorformate.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1764" y="552449"/>
          <a:ext cx="5355911" cy="380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295275</xdr:colOff>
      <xdr:row>43</xdr:row>
      <xdr:rowOff>38100</xdr:rowOff>
    </xdr:from>
    <xdr:to>
      <xdr:col>7</xdr:col>
      <xdr:colOff>142875</xdr:colOff>
      <xdr:row>53</xdr:row>
      <xdr:rowOff>19050</xdr:rowOff>
    </xdr:to>
    <xdr:grpSp>
      <xdr:nvGrpSpPr>
        <xdr:cNvPr id="39" name="Group 1"/>
        <xdr:cNvGrpSpPr>
          <a:grpSpLocks/>
        </xdr:cNvGrpSpPr>
      </xdr:nvGrpSpPr>
      <xdr:grpSpPr bwMode="auto">
        <a:xfrm>
          <a:off x="3810000" y="7058025"/>
          <a:ext cx="2981325" cy="1600200"/>
          <a:chOff x="365" y="61"/>
          <a:chExt cx="304" cy="168"/>
        </a:xfrm>
      </xdr:grpSpPr>
      <xdr:sp macro="" textlink="">
        <xdr:nvSpPr>
          <xdr:cNvPr id="40" name="Line 2"/>
          <xdr:cNvSpPr>
            <a:spLocks noChangeShapeType="1"/>
          </xdr:cNvSpPr>
        </xdr:nvSpPr>
        <xdr:spPr bwMode="auto">
          <a:xfrm>
            <a:off x="365" y="166"/>
            <a:ext cx="27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3"/>
          <xdr:cNvSpPr>
            <a:spLocks noChangeShapeType="1"/>
          </xdr:cNvSpPr>
        </xdr:nvSpPr>
        <xdr:spPr bwMode="auto">
          <a:xfrm flipV="1">
            <a:off x="365" y="65"/>
            <a:ext cx="278" cy="1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4"/>
          <xdr:cNvSpPr>
            <a:spLocks noChangeShapeType="1"/>
          </xdr:cNvSpPr>
        </xdr:nvSpPr>
        <xdr:spPr bwMode="auto">
          <a:xfrm flipV="1">
            <a:off x="640" y="61"/>
            <a:ext cx="0" cy="1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Text Box 5"/>
          <xdr:cNvSpPr txBox="1">
            <a:spLocks noChangeArrowheads="1"/>
          </xdr:cNvSpPr>
        </xdr:nvSpPr>
        <xdr:spPr bwMode="auto">
          <a:xfrm>
            <a:off x="439" y="139"/>
            <a:ext cx="54" cy="27"/>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35°</a:t>
            </a:r>
          </a:p>
        </xdr:txBody>
      </xdr:sp>
      <xdr:sp macro="" textlink="">
        <xdr:nvSpPr>
          <xdr:cNvPr id="44" name="Text Box 6"/>
          <xdr:cNvSpPr txBox="1">
            <a:spLocks noChangeArrowheads="1"/>
          </xdr:cNvSpPr>
        </xdr:nvSpPr>
        <xdr:spPr bwMode="auto">
          <a:xfrm>
            <a:off x="455" y="175"/>
            <a:ext cx="130" cy="27"/>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Brennweite 150 mm</a:t>
            </a:r>
          </a:p>
        </xdr:txBody>
      </xdr:sp>
      <xdr:sp macro="" textlink="">
        <xdr:nvSpPr>
          <xdr:cNvPr id="45" name="Text Box 7"/>
          <xdr:cNvSpPr txBox="1">
            <a:spLocks noChangeArrowheads="1"/>
          </xdr:cNvSpPr>
        </xdr:nvSpPr>
        <xdr:spPr bwMode="auto">
          <a:xfrm>
            <a:off x="457" y="202"/>
            <a:ext cx="212" cy="27"/>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Bildweite 155 mm</a:t>
            </a:r>
          </a:p>
        </xdr:txBody>
      </xdr:sp>
    </xdr:grpSp>
    <xdr:clientData/>
  </xdr:twoCellAnchor>
  <xdr:twoCellAnchor>
    <xdr:from>
      <xdr:col>1</xdr:col>
      <xdr:colOff>457200</xdr:colOff>
      <xdr:row>46</xdr:row>
      <xdr:rowOff>28575</xdr:rowOff>
    </xdr:from>
    <xdr:to>
      <xdr:col>1</xdr:col>
      <xdr:colOff>1457325</xdr:colOff>
      <xdr:row>52</xdr:row>
      <xdr:rowOff>57150</xdr:rowOff>
    </xdr:to>
    <xdr:sp macro="" textlink="">
      <xdr:nvSpPr>
        <xdr:cNvPr id="46" name="Oval 8"/>
        <xdr:cNvSpPr>
          <a:spLocks noChangeArrowheads="1"/>
        </xdr:cNvSpPr>
      </xdr:nvSpPr>
      <xdr:spPr bwMode="auto">
        <a:xfrm>
          <a:off x="1219200" y="1057275"/>
          <a:ext cx="1000125" cy="1000125"/>
        </a:xfrm>
        <a:prstGeom prst="ellipse">
          <a:avLst/>
        </a:prstGeom>
        <a:solidFill>
          <a:srgbClr val="FFFFFF"/>
        </a:solidFill>
        <a:ln w="9525">
          <a:solidFill>
            <a:srgbClr val="000000"/>
          </a:solidFill>
          <a:round/>
          <a:headEnd/>
          <a:tailEnd/>
        </a:ln>
      </xdr:spPr>
    </xdr:sp>
    <xdr:clientData/>
  </xdr:twoCellAnchor>
  <xdr:twoCellAnchor>
    <xdr:from>
      <xdr:col>1</xdr:col>
      <xdr:colOff>485775</xdr:colOff>
      <xdr:row>48</xdr:row>
      <xdr:rowOff>28575</xdr:rowOff>
    </xdr:from>
    <xdr:to>
      <xdr:col>1</xdr:col>
      <xdr:colOff>1428750</xdr:colOff>
      <xdr:row>50</xdr:row>
      <xdr:rowOff>38100</xdr:rowOff>
    </xdr:to>
    <xdr:sp macro="" textlink="">
      <xdr:nvSpPr>
        <xdr:cNvPr id="47" name="Line 9"/>
        <xdr:cNvSpPr>
          <a:spLocks noChangeShapeType="1"/>
        </xdr:cNvSpPr>
      </xdr:nvSpPr>
      <xdr:spPr bwMode="auto">
        <a:xfrm flipV="1">
          <a:off x="1247775" y="1381125"/>
          <a:ext cx="9429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46</xdr:row>
      <xdr:rowOff>152400</xdr:rowOff>
    </xdr:from>
    <xdr:to>
      <xdr:col>3</xdr:col>
      <xdr:colOff>361950</xdr:colOff>
      <xdr:row>51</xdr:row>
      <xdr:rowOff>133350</xdr:rowOff>
    </xdr:to>
    <xdr:sp macro="" textlink="">
      <xdr:nvSpPr>
        <xdr:cNvPr id="48" name="Oval 10"/>
        <xdr:cNvSpPr>
          <a:spLocks noChangeArrowheads="1"/>
        </xdr:cNvSpPr>
      </xdr:nvSpPr>
      <xdr:spPr bwMode="auto">
        <a:xfrm>
          <a:off x="3467100" y="1181100"/>
          <a:ext cx="76200" cy="790575"/>
        </a:xfrm>
        <a:prstGeom prst="ellipse">
          <a:avLst/>
        </a:prstGeom>
        <a:solidFill>
          <a:srgbClr val="FFFFFF"/>
        </a:solidFill>
        <a:ln w="9525">
          <a:solidFill>
            <a:srgbClr val="000000"/>
          </a:solidFill>
          <a:round/>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xdr:colOff>
      <xdr:row>7</xdr:row>
      <xdr:rowOff>38100</xdr:rowOff>
    </xdr:from>
    <xdr:to>
      <xdr:col>7</xdr:col>
      <xdr:colOff>247650</xdr:colOff>
      <xdr:row>17</xdr:row>
      <xdr:rowOff>114300</xdr:rowOff>
    </xdr:to>
    <xdr:grpSp>
      <xdr:nvGrpSpPr>
        <xdr:cNvPr id="2" name="Group 72"/>
        <xdr:cNvGrpSpPr>
          <a:grpSpLocks/>
        </xdr:cNvGrpSpPr>
      </xdr:nvGrpSpPr>
      <xdr:grpSpPr bwMode="auto">
        <a:xfrm>
          <a:off x="57150" y="1189759"/>
          <a:ext cx="7230341" cy="1721427"/>
          <a:chOff x="6" y="123"/>
          <a:chExt cx="759" cy="178"/>
        </a:xfrm>
      </xdr:grpSpPr>
      <xdr:grpSp>
        <xdr:nvGrpSpPr>
          <xdr:cNvPr id="3" name="Group 71"/>
          <xdr:cNvGrpSpPr>
            <a:grpSpLocks/>
          </xdr:cNvGrpSpPr>
        </xdr:nvGrpSpPr>
        <xdr:grpSpPr bwMode="auto">
          <a:xfrm>
            <a:off x="391" y="123"/>
            <a:ext cx="177" cy="177"/>
            <a:chOff x="696" y="89"/>
            <a:chExt cx="177" cy="177"/>
          </a:xfrm>
        </xdr:grpSpPr>
        <xdr:sp macro="" textlink="">
          <xdr:nvSpPr>
            <xdr:cNvPr id="29" name="Oval 4"/>
            <xdr:cNvSpPr>
              <a:spLocks noChangeArrowheads="1"/>
            </xdr:cNvSpPr>
          </xdr:nvSpPr>
          <xdr:spPr bwMode="auto">
            <a:xfrm>
              <a:off x="696" y="89"/>
              <a:ext cx="177" cy="177"/>
            </a:xfrm>
            <a:prstGeom prst="ellipse">
              <a:avLst/>
            </a:prstGeom>
            <a:solidFill>
              <a:srgbClr val="FFFFFF"/>
            </a:solidFill>
            <a:ln w="9525">
              <a:solidFill>
                <a:srgbClr val="000000"/>
              </a:solidFill>
              <a:round/>
              <a:headEnd/>
              <a:tailEnd/>
            </a:ln>
          </xdr:spPr>
        </xdr:sp>
        <xdr:sp macro="" textlink="">
          <xdr:nvSpPr>
            <xdr:cNvPr id="30" name="Line 5"/>
            <xdr:cNvSpPr>
              <a:spLocks noChangeShapeType="1"/>
            </xdr:cNvSpPr>
          </xdr:nvSpPr>
          <xdr:spPr bwMode="auto">
            <a:xfrm flipH="1" flipV="1">
              <a:off x="731" y="109"/>
              <a:ext cx="54" cy="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Text Box 10"/>
            <xdr:cNvSpPr txBox="1">
              <a:spLocks noChangeArrowheads="1"/>
            </xdr:cNvSpPr>
          </xdr:nvSpPr>
          <xdr:spPr bwMode="auto">
            <a:xfrm>
              <a:off x="774" y="163"/>
              <a:ext cx="61" cy="1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Winkel Alpha</a:t>
              </a:r>
            </a:p>
          </xdr:txBody>
        </xdr:sp>
        <xdr:sp macro="" textlink="">
          <xdr:nvSpPr>
            <xdr:cNvPr id="32" name="Line 16"/>
            <xdr:cNvSpPr>
              <a:spLocks noChangeShapeType="1"/>
            </xdr:cNvSpPr>
          </xdr:nvSpPr>
          <xdr:spPr bwMode="auto">
            <a:xfrm>
              <a:off x="730" y="109"/>
              <a:ext cx="0" cy="70"/>
            </a:xfrm>
            <a:prstGeom prst="line">
              <a:avLst/>
            </a:prstGeom>
            <a:noFill/>
            <a:ln w="9525">
              <a:solidFill>
                <a:srgbClr val="339966"/>
              </a:solidFill>
              <a:round/>
              <a:headEnd/>
              <a:tailEnd/>
            </a:ln>
            <a:extLst>
              <a:ext uri="{909E8E84-426E-40DD-AFC4-6F175D3DCCD1}">
                <a14:hiddenFill xmlns:a14="http://schemas.microsoft.com/office/drawing/2010/main">
                  <a:noFill/>
                </a14:hiddenFill>
              </a:ext>
            </a:extLst>
          </xdr:spPr>
        </xdr:sp>
        <xdr:sp macro="" textlink="">
          <xdr:nvSpPr>
            <xdr:cNvPr id="33" name="Line 17"/>
            <xdr:cNvSpPr>
              <a:spLocks noChangeShapeType="1"/>
            </xdr:cNvSpPr>
          </xdr:nvSpPr>
          <xdr:spPr bwMode="auto">
            <a:xfrm>
              <a:off x="731" y="179"/>
              <a:ext cx="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Rectangle 21"/>
            <xdr:cNvSpPr>
              <a:spLocks noChangeArrowheads="1"/>
            </xdr:cNvSpPr>
          </xdr:nvSpPr>
          <xdr:spPr bwMode="auto">
            <a:xfrm>
              <a:off x="730" y="148"/>
              <a:ext cx="95" cy="62"/>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 name="Freeform 25"/>
            <xdr:cNvSpPr>
              <a:spLocks/>
            </xdr:cNvSpPr>
          </xdr:nvSpPr>
          <xdr:spPr bwMode="auto">
            <a:xfrm>
              <a:off x="761" y="160"/>
              <a:ext cx="10" cy="19"/>
            </a:xfrm>
            <a:custGeom>
              <a:avLst/>
              <a:gdLst>
                <a:gd name="T0" fmla="*/ 5 w 11"/>
                <a:gd name="T1" fmla="*/ 0 h 21"/>
                <a:gd name="T2" fmla="*/ 5 w 11"/>
                <a:gd name="T3" fmla="*/ 3 h 21"/>
                <a:gd name="T4" fmla="*/ 2 w 11"/>
                <a:gd name="T5" fmla="*/ 5 h 21"/>
                <a:gd name="T6" fmla="*/ 0 w 11"/>
                <a:gd name="T7" fmla="*/ 5 h 21"/>
                <a:gd name="T8" fmla="*/ 1 w 11"/>
                <a:gd name="T9" fmla="*/ 5 h 21"/>
                <a:gd name="T10" fmla="*/ 0 60000 65536"/>
                <a:gd name="T11" fmla="*/ 0 60000 65536"/>
                <a:gd name="T12" fmla="*/ 0 60000 65536"/>
                <a:gd name="T13" fmla="*/ 0 60000 65536"/>
                <a:gd name="T14" fmla="*/ 0 60000 65536"/>
                <a:gd name="T15" fmla="*/ 0 w 11"/>
                <a:gd name="T16" fmla="*/ 0 h 21"/>
                <a:gd name="T17" fmla="*/ 11 w 11"/>
                <a:gd name="T18" fmla="*/ 21 h 21"/>
              </a:gdLst>
              <a:ahLst/>
              <a:cxnLst>
                <a:cxn ang="T10">
                  <a:pos x="T0" y="T1"/>
                </a:cxn>
                <a:cxn ang="T11">
                  <a:pos x="T2" y="T3"/>
                </a:cxn>
                <a:cxn ang="T12">
                  <a:pos x="T4" y="T5"/>
                </a:cxn>
                <a:cxn ang="T13">
                  <a:pos x="T6" y="T7"/>
                </a:cxn>
                <a:cxn ang="T14">
                  <a:pos x="T8" y="T9"/>
                </a:cxn>
              </a:cxnLst>
              <a:rect l="T15" t="T16" r="T17" b="T18"/>
              <a:pathLst>
                <a:path w="11" h="21">
                  <a:moveTo>
                    <a:pt x="11" y="0"/>
                  </a:moveTo>
                  <a:lnTo>
                    <a:pt x="6" y="3"/>
                  </a:lnTo>
                  <a:lnTo>
                    <a:pt x="2" y="8"/>
                  </a:lnTo>
                  <a:lnTo>
                    <a:pt x="0" y="15"/>
                  </a:lnTo>
                  <a:lnTo>
                    <a:pt x="1" y="21"/>
                  </a:lnTo>
                </a:path>
              </a:pathLst>
            </a:cu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Text Box 37"/>
            <xdr:cNvSpPr txBox="1">
              <a:spLocks noChangeArrowheads="1"/>
            </xdr:cNvSpPr>
          </xdr:nvSpPr>
          <xdr:spPr bwMode="auto">
            <a:xfrm>
              <a:off x="755" y="120"/>
              <a:ext cx="43" cy="1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Radius</a:t>
              </a:r>
            </a:p>
          </xdr:txBody>
        </xdr:sp>
        <xdr:sp macro="" textlink="">
          <xdr:nvSpPr>
            <xdr:cNvPr id="37" name="Text Box 38"/>
            <xdr:cNvSpPr txBox="1">
              <a:spLocks noChangeArrowheads="1"/>
            </xdr:cNvSpPr>
          </xdr:nvSpPr>
          <xdr:spPr bwMode="auto">
            <a:xfrm>
              <a:off x="736" y="181"/>
              <a:ext cx="73" cy="2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halbe </a:t>
              </a:r>
            </a:p>
            <a:p>
              <a:pPr algn="l" rtl="0">
                <a:defRPr sz="1000"/>
              </a:pPr>
              <a:r>
                <a:rPr lang="de-DE" sz="800" b="0" i="0" strike="noStrike">
                  <a:solidFill>
                    <a:srgbClr val="000000"/>
                  </a:solidFill>
                  <a:latin typeface="Arial"/>
                  <a:cs typeface="Arial"/>
                </a:rPr>
                <a:t>Formatbreite</a:t>
              </a:r>
            </a:p>
          </xdr:txBody>
        </xdr:sp>
      </xdr:grpSp>
      <xdr:grpSp>
        <xdr:nvGrpSpPr>
          <xdr:cNvPr id="4" name="Group 70"/>
          <xdr:cNvGrpSpPr>
            <a:grpSpLocks/>
          </xdr:cNvGrpSpPr>
        </xdr:nvGrpSpPr>
        <xdr:grpSpPr bwMode="auto">
          <a:xfrm>
            <a:off x="585" y="123"/>
            <a:ext cx="180" cy="177"/>
            <a:chOff x="1138" y="98"/>
            <a:chExt cx="180" cy="177"/>
          </a:xfrm>
        </xdr:grpSpPr>
        <xdr:sp macro="" textlink="">
          <xdr:nvSpPr>
            <xdr:cNvPr id="20" name="Oval 61"/>
            <xdr:cNvSpPr>
              <a:spLocks noChangeArrowheads="1"/>
            </xdr:cNvSpPr>
          </xdr:nvSpPr>
          <xdr:spPr bwMode="auto">
            <a:xfrm>
              <a:off x="1138" y="98"/>
              <a:ext cx="177" cy="177"/>
            </a:xfrm>
            <a:prstGeom prst="ellipse">
              <a:avLst/>
            </a:prstGeom>
            <a:solidFill>
              <a:srgbClr val="FFFFFF"/>
            </a:solidFill>
            <a:ln w="9525">
              <a:solidFill>
                <a:srgbClr val="000000"/>
              </a:solidFill>
              <a:round/>
              <a:headEnd/>
              <a:tailEnd/>
            </a:ln>
          </xdr:spPr>
        </xdr:sp>
        <xdr:sp macro="" textlink="">
          <xdr:nvSpPr>
            <xdr:cNvPr id="21" name="Line 62"/>
            <xdr:cNvSpPr>
              <a:spLocks noChangeShapeType="1"/>
            </xdr:cNvSpPr>
          </xdr:nvSpPr>
          <xdr:spPr bwMode="auto">
            <a:xfrm flipH="1" flipV="1">
              <a:off x="1144" y="157"/>
              <a:ext cx="76" cy="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Text Box 63"/>
            <xdr:cNvSpPr txBox="1">
              <a:spLocks noChangeArrowheads="1"/>
            </xdr:cNvSpPr>
          </xdr:nvSpPr>
          <xdr:spPr bwMode="auto">
            <a:xfrm>
              <a:off x="1174" y="160"/>
              <a:ext cx="41" cy="1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Winkel Alpha</a:t>
              </a:r>
            </a:p>
          </xdr:txBody>
        </xdr:sp>
        <xdr:sp macro="" textlink="">
          <xdr:nvSpPr>
            <xdr:cNvPr id="23" name="Line 64"/>
            <xdr:cNvSpPr>
              <a:spLocks noChangeShapeType="1"/>
            </xdr:cNvSpPr>
          </xdr:nvSpPr>
          <xdr:spPr bwMode="auto">
            <a:xfrm rot="-5400000">
              <a:off x="1182" y="119"/>
              <a:ext cx="0" cy="75"/>
            </a:xfrm>
            <a:prstGeom prst="line">
              <a:avLst/>
            </a:prstGeom>
            <a:noFill/>
            <a:ln w="9525">
              <a:solidFill>
                <a:srgbClr val="339966"/>
              </a:solidFill>
              <a:round/>
              <a:headEnd/>
              <a:tailEnd/>
            </a:ln>
            <a:extLst>
              <a:ext uri="{909E8E84-426E-40DD-AFC4-6F175D3DCCD1}">
                <a14:hiddenFill xmlns:a14="http://schemas.microsoft.com/office/drawing/2010/main">
                  <a:noFill/>
                </a14:hiddenFill>
              </a:ext>
            </a:extLst>
          </xdr:spPr>
        </xdr:sp>
        <xdr:sp macro="" textlink="">
          <xdr:nvSpPr>
            <xdr:cNvPr id="24" name="Line 65"/>
            <xdr:cNvSpPr>
              <a:spLocks noChangeShapeType="1"/>
            </xdr:cNvSpPr>
          </xdr:nvSpPr>
          <xdr:spPr bwMode="auto">
            <a:xfrm>
              <a:off x="1220" y="158"/>
              <a:ext cx="0"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Rectangle 66"/>
            <xdr:cNvSpPr>
              <a:spLocks noChangeArrowheads="1"/>
            </xdr:cNvSpPr>
          </xdr:nvSpPr>
          <xdr:spPr bwMode="auto">
            <a:xfrm>
              <a:off x="1172" y="157"/>
              <a:ext cx="95" cy="62"/>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 name="Freeform 67"/>
            <xdr:cNvSpPr>
              <a:spLocks/>
            </xdr:cNvSpPr>
          </xdr:nvSpPr>
          <xdr:spPr bwMode="auto">
            <a:xfrm rot="1334941">
              <a:off x="1207" y="166"/>
              <a:ext cx="10" cy="19"/>
            </a:xfrm>
            <a:custGeom>
              <a:avLst/>
              <a:gdLst>
                <a:gd name="T0" fmla="*/ 5 w 11"/>
                <a:gd name="T1" fmla="*/ 0 h 21"/>
                <a:gd name="T2" fmla="*/ 5 w 11"/>
                <a:gd name="T3" fmla="*/ 3 h 21"/>
                <a:gd name="T4" fmla="*/ 2 w 11"/>
                <a:gd name="T5" fmla="*/ 5 h 21"/>
                <a:gd name="T6" fmla="*/ 0 w 11"/>
                <a:gd name="T7" fmla="*/ 5 h 21"/>
                <a:gd name="T8" fmla="*/ 1 w 11"/>
                <a:gd name="T9" fmla="*/ 5 h 21"/>
                <a:gd name="T10" fmla="*/ 0 60000 65536"/>
                <a:gd name="T11" fmla="*/ 0 60000 65536"/>
                <a:gd name="T12" fmla="*/ 0 60000 65536"/>
                <a:gd name="T13" fmla="*/ 0 60000 65536"/>
                <a:gd name="T14" fmla="*/ 0 60000 65536"/>
                <a:gd name="T15" fmla="*/ 0 w 11"/>
                <a:gd name="T16" fmla="*/ 0 h 21"/>
                <a:gd name="T17" fmla="*/ 11 w 11"/>
                <a:gd name="T18" fmla="*/ 21 h 21"/>
              </a:gdLst>
              <a:ahLst/>
              <a:cxnLst>
                <a:cxn ang="T10">
                  <a:pos x="T0" y="T1"/>
                </a:cxn>
                <a:cxn ang="T11">
                  <a:pos x="T2" y="T3"/>
                </a:cxn>
                <a:cxn ang="T12">
                  <a:pos x="T4" y="T5"/>
                </a:cxn>
                <a:cxn ang="T13">
                  <a:pos x="T6" y="T7"/>
                </a:cxn>
                <a:cxn ang="T14">
                  <a:pos x="T8" y="T9"/>
                </a:cxn>
              </a:cxnLst>
              <a:rect l="T15" t="T16" r="T17" b="T18"/>
              <a:pathLst>
                <a:path w="11" h="21">
                  <a:moveTo>
                    <a:pt x="11" y="0"/>
                  </a:moveTo>
                  <a:lnTo>
                    <a:pt x="6" y="3"/>
                  </a:lnTo>
                  <a:lnTo>
                    <a:pt x="2" y="8"/>
                  </a:lnTo>
                  <a:lnTo>
                    <a:pt x="0" y="15"/>
                  </a:lnTo>
                  <a:lnTo>
                    <a:pt x="1" y="21"/>
                  </a:lnTo>
                </a:path>
              </a:pathLst>
            </a:cu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Text Box 68"/>
            <xdr:cNvSpPr txBox="1">
              <a:spLocks noChangeArrowheads="1"/>
            </xdr:cNvSpPr>
          </xdr:nvSpPr>
          <xdr:spPr bwMode="auto">
            <a:xfrm>
              <a:off x="1138" y="167"/>
              <a:ext cx="43" cy="1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Radius</a:t>
              </a:r>
            </a:p>
          </xdr:txBody>
        </xdr:sp>
        <xdr:sp macro="" textlink="">
          <xdr:nvSpPr>
            <xdr:cNvPr id="28" name="Text Box 69"/>
            <xdr:cNvSpPr txBox="1">
              <a:spLocks noChangeArrowheads="1"/>
            </xdr:cNvSpPr>
          </xdr:nvSpPr>
          <xdr:spPr bwMode="auto">
            <a:xfrm>
              <a:off x="1223" y="163"/>
              <a:ext cx="95"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halbe Formathöhe</a:t>
              </a:r>
            </a:p>
          </xdr:txBody>
        </xdr:sp>
      </xdr:grpSp>
      <xdr:grpSp>
        <xdr:nvGrpSpPr>
          <xdr:cNvPr id="5" name="Group 81"/>
          <xdr:cNvGrpSpPr>
            <a:grpSpLocks/>
          </xdr:cNvGrpSpPr>
        </xdr:nvGrpSpPr>
        <xdr:grpSpPr bwMode="auto">
          <a:xfrm>
            <a:off x="6" y="124"/>
            <a:ext cx="177" cy="177"/>
            <a:chOff x="538" y="78"/>
            <a:chExt cx="177" cy="177"/>
          </a:xfrm>
        </xdr:grpSpPr>
        <xdr:sp macro="" textlink="">
          <xdr:nvSpPr>
            <xdr:cNvPr id="12" name="Oval 27"/>
            <xdr:cNvSpPr>
              <a:spLocks noChangeArrowheads="1"/>
            </xdr:cNvSpPr>
          </xdr:nvSpPr>
          <xdr:spPr bwMode="auto">
            <a:xfrm>
              <a:off x="538" y="78"/>
              <a:ext cx="177" cy="177"/>
            </a:xfrm>
            <a:prstGeom prst="ellipse">
              <a:avLst/>
            </a:prstGeom>
            <a:solidFill>
              <a:srgbClr val="FFFFFF"/>
            </a:solidFill>
            <a:ln w="9525">
              <a:solidFill>
                <a:srgbClr val="000000"/>
              </a:solidFill>
              <a:round/>
              <a:headEnd/>
              <a:tailEnd/>
            </a:ln>
          </xdr:spPr>
        </xdr:sp>
        <xdr:sp macro="" textlink="">
          <xdr:nvSpPr>
            <xdr:cNvPr id="13" name="Rectangle 32"/>
            <xdr:cNvSpPr>
              <a:spLocks noChangeArrowheads="1"/>
            </xdr:cNvSpPr>
          </xdr:nvSpPr>
          <xdr:spPr bwMode="auto">
            <a:xfrm>
              <a:off x="572" y="137"/>
              <a:ext cx="95" cy="62"/>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Text Box 35"/>
            <xdr:cNvSpPr txBox="1">
              <a:spLocks noChangeArrowheads="1"/>
            </xdr:cNvSpPr>
          </xdr:nvSpPr>
          <xdr:spPr bwMode="auto">
            <a:xfrm>
              <a:off x="561" y="108"/>
              <a:ext cx="43" cy="1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Radius</a:t>
              </a:r>
            </a:p>
          </xdr:txBody>
        </xdr:sp>
        <xdr:sp macro="" textlink="">
          <xdr:nvSpPr>
            <xdr:cNvPr id="15" name="Text Box 36"/>
            <xdr:cNvSpPr txBox="1">
              <a:spLocks noChangeArrowheads="1"/>
            </xdr:cNvSpPr>
          </xdr:nvSpPr>
          <xdr:spPr bwMode="auto">
            <a:xfrm>
              <a:off x="600" y="198"/>
              <a:ext cx="94" cy="1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Formatdiagonale</a:t>
              </a:r>
            </a:p>
          </xdr:txBody>
        </xdr:sp>
        <xdr:sp macro="" textlink="">
          <xdr:nvSpPr>
            <xdr:cNvPr id="16" name="Line 74"/>
            <xdr:cNvSpPr>
              <a:spLocks noChangeShapeType="1"/>
            </xdr:cNvSpPr>
          </xdr:nvSpPr>
          <xdr:spPr bwMode="auto">
            <a:xfrm>
              <a:off x="550" y="122"/>
              <a:ext cx="69" cy="45"/>
            </a:xfrm>
            <a:prstGeom prst="line">
              <a:avLst/>
            </a:prstGeom>
            <a:noFill/>
            <a:ln w="9525">
              <a:solidFill>
                <a:srgbClr val="FF00FF"/>
              </a:solidFill>
              <a:round/>
              <a:headEnd/>
              <a:tailEnd/>
            </a:ln>
            <a:extLst>
              <a:ext uri="{909E8E84-426E-40DD-AFC4-6F175D3DCCD1}">
                <a14:hiddenFill xmlns:a14="http://schemas.microsoft.com/office/drawing/2010/main">
                  <a:noFill/>
                </a14:hiddenFill>
              </a:ext>
            </a:extLst>
          </xdr:spPr>
        </xdr:sp>
        <xdr:sp macro="" textlink="">
          <xdr:nvSpPr>
            <xdr:cNvPr id="17" name="Line 75"/>
            <xdr:cNvSpPr>
              <a:spLocks noChangeShapeType="1"/>
            </xdr:cNvSpPr>
          </xdr:nvSpPr>
          <xdr:spPr bwMode="auto">
            <a:xfrm>
              <a:off x="573" y="138"/>
              <a:ext cx="93" cy="61"/>
            </a:xfrm>
            <a:prstGeom prst="line">
              <a:avLst/>
            </a:prstGeom>
            <a:noFill/>
            <a:ln w="9525">
              <a:solidFill>
                <a:srgbClr val="00CCFF"/>
              </a:solidFill>
              <a:round/>
              <a:headEnd/>
              <a:tailEnd/>
            </a:ln>
            <a:extLst>
              <a:ext uri="{909E8E84-426E-40DD-AFC4-6F175D3DCCD1}">
                <a14:hiddenFill xmlns:a14="http://schemas.microsoft.com/office/drawing/2010/main">
                  <a:noFill/>
                </a14:hiddenFill>
              </a:ext>
            </a:extLst>
          </xdr:spPr>
        </xdr:sp>
        <xdr:sp macro="" textlink="">
          <xdr:nvSpPr>
            <xdr:cNvPr id="18" name="Line 76"/>
            <xdr:cNvSpPr>
              <a:spLocks noChangeShapeType="1"/>
            </xdr:cNvSpPr>
          </xdr:nvSpPr>
          <xdr:spPr bwMode="auto">
            <a:xfrm flipV="1">
              <a:off x="573" y="137"/>
              <a:ext cx="94" cy="62"/>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9" name="Rectangle 78"/>
            <xdr:cNvSpPr>
              <a:spLocks noChangeArrowheads="1"/>
            </xdr:cNvSpPr>
          </xdr:nvSpPr>
          <xdr:spPr bwMode="auto">
            <a:xfrm>
              <a:off x="550" y="123"/>
              <a:ext cx="95" cy="62"/>
            </a:xfrm>
            <a:prstGeom prst="rect">
              <a:avLst/>
            </a:prstGeom>
            <a:noFill/>
            <a:ln w="9525">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sp>
      </xdr:grpSp>
      <xdr:grpSp>
        <xdr:nvGrpSpPr>
          <xdr:cNvPr id="6" name="Group 82"/>
          <xdr:cNvGrpSpPr>
            <a:grpSpLocks/>
          </xdr:cNvGrpSpPr>
        </xdr:nvGrpSpPr>
        <xdr:grpSpPr bwMode="auto">
          <a:xfrm>
            <a:off x="201" y="124"/>
            <a:ext cx="171" cy="175"/>
            <a:chOff x="733" y="78"/>
            <a:chExt cx="171" cy="175"/>
          </a:xfrm>
        </xdr:grpSpPr>
        <xdr:grpSp>
          <xdr:nvGrpSpPr>
            <xdr:cNvPr id="7" name="Group 72"/>
            <xdr:cNvGrpSpPr>
              <a:grpSpLocks/>
            </xdr:cNvGrpSpPr>
          </xdr:nvGrpSpPr>
          <xdr:grpSpPr bwMode="auto">
            <a:xfrm>
              <a:off x="733" y="78"/>
              <a:ext cx="171" cy="175"/>
              <a:chOff x="514" y="89"/>
              <a:chExt cx="171" cy="175"/>
            </a:xfrm>
          </xdr:grpSpPr>
          <xdr:sp macro="" textlink="">
            <xdr:nvSpPr>
              <xdr:cNvPr id="9" name="Oval 1"/>
              <xdr:cNvSpPr>
                <a:spLocks noChangeArrowheads="1"/>
              </xdr:cNvSpPr>
            </xdr:nvSpPr>
            <xdr:spPr bwMode="auto">
              <a:xfrm>
                <a:off x="514" y="89"/>
                <a:ext cx="171" cy="175"/>
              </a:xfrm>
              <a:prstGeom prst="ellipse">
                <a:avLst/>
              </a:prstGeom>
              <a:solidFill>
                <a:srgbClr val="FFFFFF"/>
              </a:solidFill>
              <a:ln w="9525">
                <a:solidFill>
                  <a:srgbClr val="000000"/>
                </a:solidFill>
                <a:round/>
                <a:headEnd/>
                <a:tailEnd/>
              </a:ln>
            </xdr:spPr>
          </xdr:sp>
          <xdr:sp macro="" textlink="">
            <xdr:nvSpPr>
              <xdr:cNvPr id="10" name="Rectangle 2"/>
              <xdr:cNvSpPr>
                <a:spLocks noChangeArrowheads="1"/>
              </xdr:cNvSpPr>
            </xdr:nvSpPr>
            <xdr:spPr bwMode="auto">
              <a:xfrm>
                <a:off x="553" y="107"/>
                <a:ext cx="94" cy="62"/>
              </a:xfrm>
              <a:prstGeom prst="rect">
                <a:avLst/>
              </a:prstGeom>
              <a:solidFill>
                <a:srgbClr val="FFFFFF"/>
              </a:solidFill>
              <a:ln w="9525">
                <a:solidFill>
                  <a:srgbClr val="FF0000"/>
                </a:solidFill>
                <a:prstDash val="sysDot"/>
                <a:miter lim="800000"/>
                <a:headEnd/>
                <a:tailEnd/>
              </a:ln>
            </xdr:spPr>
          </xdr:sp>
          <xdr:sp macro="" textlink="">
            <xdr:nvSpPr>
              <xdr:cNvPr id="11" name="Rectangle 3"/>
              <xdr:cNvSpPr>
                <a:spLocks noChangeArrowheads="1"/>
              </xdr:cNvSpPr>
            </xdr:nvSpPr>
            <xdr:spPr bwMode="auto">
              <a:xfrm>
                <a:off x="553" y="145"/>
                <a:ext cx="94" cy="6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8" name="Rectangle 80"/>
            <xdr:cNvSpPr>
              <a:spLocks noChangeArrowheads="1"/>
            </xdr:cNvSpPr>
          </xdr:nvSpPr>
          <xdr:spPr bwMode="auto">
            <a:xfrm>
              <a:off x="739" y="134"/>
              <a:ext cx="95" cy="62"/>
            </a:xfrm>
            <a:prstGeom prst="rect">
              <a:avLst/>
            </a:prstGeom>
            <a:noFill/>
            <a:ln w="9525">
              <a:solidFill>
                <a:srgbClr val="FF00FF"/>
              </a:solidFill>
              <a:prstDash val="sysDot"/>
              <a:miter lim="800000"/>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4</xdr:col>
      <xdr:colOff>9525</xdr:colOff>
      <xdr:row>32</xdr:row>
      <xdr:rowOff>114300</xdr:rowOff>
    </xdr:from>
    <xdr:to>
      <xdr:col>5</xdr:col>
      <xdr:colOff>561975</xdr:colOff>
      <xdr:row>37</xdr:row>
      <xdr:rowOff>152400</xdr:rowOff>
    </xdr:to>
    <xdr:grpSp>
      <xdr:nvGrpSpPr>
        <xdr:cNvPr id="38" name="Group 41"/>
        <xdr:cNvGrpSpPr>
          <a:grpSpLocks/>
        </xdr:cNvGrpSpPr>
      </xdr:nvGrpSpPr>
      <xdr:grpSpPr bwMode="auto">
        <a:xfrm>
          <a:off x="4763366" y="5379027"/>
          <a:ext cx="1314450" cy="860714"/>
          <a:chOff x="499" y="446"/>
          <a:chExt cx="138" cy="89"/>
        </a:xfrm>
      </xdr:grpSpPr>
      <xdr:sp macro="" textlink="">
        <xdr:nvSpPr>
          <xdr:cNvPr id="39" name="AutoShape 36"/>
          <xdr:cNvSpPr>
            <a:spLocks noChangeArrowheads="1"/>
          </xdr:cNvSpPr>
        </xdr:nvSpPr>
        <xdr:spPr bwMode="auto">
          <a:xfrm flipH="1">
            <a:off x="499" y="446"/>
            <a:ext cx="106" cy="46"/>
          </a:xfrm>
          <a:prstGeom prst="rtTriangl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AutoShape 37"/>
          <xdr:cNvSpPr>
            <a:spLocks noChangeArrowheads="1"/>
          </xdr:cNvSpPr>
        </xdr:nvSpPr>
        <xdr:spPr bwMode="auto">
          <a:xfrm flipH="1" flipV="1">
            <a:off x="499" y="492"/>
            <a:ext cx="106" cy="43"/>
          </a:xfrm>
          <a:prstGeom prst="rtTriangl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Text Box 38"/>
          <xdr:cNvSpPr txBox="1">
            <a:spLocks noChangeArrowheads="1"/>
          </xdr:cNvSpPr>
        </xdr:nvSpPr>
        <xdr:spPr bwMode="auto">
          <a:xfrm>
            <a:off x="530" y="475"/>
            <a:ext cx="4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35°</a:t>
            </a:r>
          </a:p>
        </xdr:txBody>
      </xdr:sp>
      <xdr:sp macro="" textlink="">
        <xdr:nvSpPr>
          <xdr:cNvPr id="42" name="Text Box 39"/>
          <xdr:cNvSpPr txBox="1">
            <a:spLocks noChangeArrowheads="1"/>
          </xdr:cNvSpPr>
        </xdr:nvSpPr>
        <xdr:spPr bwMode="auto">
          <a:xfrm>
            <a:off x="569" y="491"/>
            <a:ext cx="30"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a:t>
            </a:r>
          </a:p>
        </xdr:txBody>
      </xdr:sp>
      <xdr:sp macro="" textlink="">
        <xdr:nvSpPr>
          <xdr:cNvPr id="43" name="Text Box 40"/>
          <xdr:cNvSpPr txBox="1">
            <a:spLocks noChangeArrowheads="1"/>
          </xdr:cNvSpPr>
        </xdr:nvSpPr>
        <xdr:spPr bwMode="auto">
          <a:xfrm>
            <a:off x="607" y="455"/>
            <a:ext cx="30"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r</a:t>
            </a:r>
          </a:p>
        </xdr:txBody>
      </xdr:sp>
    </xdr:grpSp>
    <xdr:clientData/>
  </xdr:twoCellAnchor>
  <xdr:twoCellAnchor>
    <xdr:from>
      <xdr:col>4</xdr:col>
      <xdr:colOff>161925</xdr:colOff>
      <xdr:row>107</xdr:row>
      <xdr:rowOff>152400</xdr:rowOff>
    </xdr:from>
    <xdr:to>
      <xdr:col>9</xdr:col>
      <xdr:colOff>533400</xdr:colOff>
      <xdr:row>117</xdr:row>
      <xdr:rowOff>104775</xdr:rowOff>
    </xdr:to>
    <xdr:grpSp>
      <xdr:nvGrpSpPr>
        <xdr:cNvPr id="64" name="Group 37"/>
        <xdr:cNvGrpSpPr>
          <a:grpSpLocks/>
        </xdr:cNvGrpSpPr>
      </xdr:nvGrpSpPr>
      <xdr:grpSpPr bwMode="auto">
        <a:xfrm>
          <a:off x="4915766" y="18042082"/>
          <a:ext cx="4181475" cy="1597602"/>
          <a:chOff x="348" y="607"/>
          <a:chExt cx="396" cy="165"/>
        </a:xfrm>
      </xdr:grpSpPr>
      <xdr:grpSp>
        <xdr:nvGrpSpPr>
          <xdr:cNvPr id="65" name="Group 1"/>
          <xdr:cNvGrpSpPr>
            <a:grpSpLocks/>
          </xdr:cNvGrpSpPr>
        </xdr:nvGrpSpPr>
        <xdr:grpSpPr bwMode="auto">
          <a:xfrm>
            <a:off x="348" y="607"/>
            <a:ext cx="396" cy="165"/>
            <a:chOff x="145" y="315"/>
            <a:chExt cx="381" cy="165"/>
          </a:xfrm>
        </xdr:grpSpPr>
        <xdr:grpSp>
          <xdr:nvGrpSpPr>
            <xdr:cNvPr id="79" name="Group 2"/>
            <xdr:cNvGrpSpPr>
              <a:grpSpLocks/>
            </xdr:cNvGrpSpPr>
          </xdr:nvGrpSpPr>
          <xdr:grpSpPr bwMode="auto">
            <a:xfrm>
              <a:off x="145" y="315"/>
              <a:ext cx="117" cy="125"/>
              <a:chOff x="119" y="268"/>
              <a:chExt cx="117" cy="125"/>
            </a:xfrm>
          </xdr:grpSpPr>
          <xdr:grpSp>
            <xdr:nvGrpSpPr>
              <xdr:cNvPr id="96" name="Group 3"/>
              <xdr:cNvGrpSpPr>
                <a:grpSpLocks/>
              </xdr:cNvGrpSpPr>
            </xdr:nvGrpSpPr>
            <xdr:grpSpPr bwMode="auto">
              <a:xfrm>
                <a:off x="119" y="268"/>
                <a:ext cx="117" cy="125"/>
                <a:chOff x="557" y="92"/>
                <a:chExt cx="199" cy="213"/>
              </a:xfrm>
            </xdr:grpSpPr>
            <xdr:sp macro="" textlink="">
              <xdr:nvSpPr>
                <xdr:cNvPr id="98" name="Oval 4"/>
                <xdr:cNvSpPr>
                  <a:spLocks noChangeArrowheads="1"/>
                </xdr:cNvSpPr>
              </xdr:nvSpPr>
              <xdr:spPr bwMode="auto">
                <a:xfrm>
                  <a:off x="557" y="92"/>
                  <a:ext cx="199" cy="213"/>
                </a:xfrm>
                <a:prstGeom prst="ellipse">
                  <a:avLst/>
                </a:prstGeom>
                <a:solidFill>
                  <a:srgbClr val="FFFFFF"/>
                </a:solidFill>
                <a:ln w="9525">
                  <a:solidFill>
                    <a:srgbClr val="000000"/>
                  </a:solidFill>
                  <a:round/>
                  <a:headEnd/>
                  <a:tailEnd/>
                </a:ln>
              </xdr:spPr>
            </xdr:sp>
            <xdr:sp macro="" textlink="">
              <xdr:nvSpPr>
                <xdr:cNvPr id="99" name="Rectangle 5"/>
                <xdr:cNvSpPr>
                  <a:spLocks noChangeArrowheads="1"/>
                </xdr:cNvSpPr>
              </xdr:nvSpPr>
              <xdr:spPr bwMode="auto">
                <a:xfrm>
                  <a:off x="602" y="113"/>
                  <a:ext cx="110" cy="76"/>
                </a:xfrm>
                <a:prstGeom prst="rect">
                  <a:avLst/>
                </a:prstGeom>
                <a:solidFill>
                  <a:srgbClr val="FFFFFF"/>
                </a:solidFill>
                <a:ln w="9525">
                  <a:solidFill>
                    <a:srgbClr val="FF0000"/>
                  </a:solidFill>
                  <a:miter lim="800000"/>
                  <a:headEnd/>
                  <a:tailEnd/>
                </a:ln>
              </xdr:spPr>
            </xdr:sp>
            <xdr:sp macro="" textlink="">
              <xdr:nvSpPr>
                <xdr:cNvPr id="100" name="Rectangle 6"/>
                <xdr:cNvSpPr>
                  <a:spLocks noChangeArrowheads="1"/>
                </xdr:cNvSpPr>
              </xdr:nvSpPr>
              <xdr:spPr bwMode="auto">
                <a:xfrm>
                  <a:off x="602" y="160"/>
                  <a:ext cx="110" cy="76"/>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97" name="Text Box 7"/>
              <xdr:cNvSpPr txBox="1">
                <a:spLocks noChangeArrowheads="1"/>
              </xdr:cNvSpPr>
            </xdr:nvSpPr>
            <xdr:spPr bwMode="auto">
              <a:xfrm>
                <a:off x="167" y="363"/>
                <a:ext cx="25"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a)</a:t>
                </a:r>
              </a:p>
            </xdr:txBody>
          </xdr:sp>
        </xdr:grpSp>
        <xdr:grpSp>
          <xdr:nvGrpSpPr>
            <xdr:cNvPr id="80" name="Group 8"/>
            <xdr:cNvGrpSpPr>
              <a:grpSpLocks/>
            </xdr:cNvGrpSpPr>
          </xdr:nvGrpSpPr>
          <xdr:grpSpPr bwMode="auto">
            <a:xfrm>
              <a:off x="276" y="316"/>
              <a:ext cx="117" cy="125"/>
              <a:chOff x="250" y="269"/>
              <a:chExt cx="117" cy="125"/>
            </a:xfrm>
          </xdr:grpSpPr>
          <xdr:grpSp>
            <xdr:nvGrpSpPr>
              <xdr:cNvPr id="91" name="Group 9"/>
              <xdr:cNvGrpSpPr>
                <a:grpSpLocks/>
              </xdr:cNvGrpSpPr>
            </xdr:nvGrpSpPr>
            <xdr:grpSpPr bwMode="auto">
              <a:xfrm>
                <a:off x="250" y="269"/>
                <a:ext cx="117" cy="125"/>
                <a:chOff x="250" y="269"/>
                <a:chExt cx="117" cy="125"/>
              </a:xfrm>
            </xdr:grpSpPr>
            <xdr:sp macro="" textlink="">
              <xdr:nvSpPr>
                <xdr:cNvPr id="93" name="Oval 10"/>
                <xdr:cNvSpPr>
                  <a:spLocks noChangeArrowheads="1"/>
                </xdr:cNvSpPr>
              </xdr:nvSpPr>
              <xdr:spPr bwMode="auto">
                <a:xfrm>
                  <a:off x="250" y="269"/>
                  <a:ext cx="117" cy="125"/>
                </a:xfrm>
                <a:prstGeom prst="ellipse">
                  <a:avLst/>
                </a:prstGeom>
                <a:solidFill>
                  <a:srgbClr val="FFFFFF"/>
                </a:solidFill>
                <a:ln w="9525">
                  <a:solidFill>
                    <a:srgbClr val="000000"/>
                  </a:solidFill>
                  <a:round/>
                  <a:headEnd/>
                  <a:tailEnd/>
                </a:ln>
              </xdr:spPr>
            </xdr:sp>
            <xdr:sp macro="" textlink="">
              <xdr:nvSpPr>
                <xdr:cNvPr id="94" name="Rectangle 11"/>
                <xdr:cNvSpPr>
                  <a:spLocks noChangeArrowheads="1"/>
                </xdr:cNvSpPr>
              </xdr:nvSpPr>
              <xdr:spPr bwMode="auto">
                <a:xfrm>
                  <a:off x="255" y="309"/>
                  <a:ext cx="65" cy="45"/>
                </a:xfrm>
                <a:prstGeom prst="rect">
                  <a:avLst/>
                </a:prstGeom>
                <a:solidFill>
                  <a:srgbClr val="FFFFFF"/>
                </a:solidFill>
                <a:ln w="9525">
                  <a:solidFill>
                    <a:srgbClr val="FF0000"/>
                  </a:solidFill>
                  <a:miter lim="800000"/>
                  <a:headEnd/>
                  <a:tailEnd/>
                </a:ln>
              </xdr:spPr>
            </xdr:sp>
            <xdr:sp macro="" textlink="">
              <xdr:nvSpPr>
                <xdr:cNvPr id="95" name="Rectangle 12"/>
                <xdr:cNvSpPr>
                  <a:spLocks noChangeArrowheads="1"/>
                </xdr:cNvSpPr>
              </xdr:nvSpPr>
              <xdr:spPr bwMode="auto">
                <a:xfrm>
                  <a:off x="276" y="309"/>
                  <a:ext cx="65" cy="45"/>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92" name="Text Box 13"/>
              <xdr:cNvSpPr txBox="1">
                <a:spLocks noChangeArrowheads="1"/>
              </xdr:cNvSpPr>
            </xdr:nvSpPr>
            <xdr:spPr bwMode="auto">
              <a:xfrm>
                <a:off x="298" y="363"/>
                <a:ext cx="25"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a:t>
                </a:r>
              </a:p>
            </xdr:txBody>
          </xdr:sp>
        </xdr:grpSp>
        <xdr:grpSp>
          <xdr:nvGrpSpPr>
            <xdr:cNvPr id="81" name="Group 14"/>
            <xdr:cNvGrpSpPr>
              <a:grpSpLocks/>
            </xdr:cNvGrpSpPr>
          </xdr:nvGrpSpPr>
          <xdr:grpSpPr bwMode="auto">
            <a:xfrm>
              <a:off x="409" y="316"/>
              <a:ext cx="117" cy="125"/>
              <a:chOff x="392" y="269"/>
              <a:chExt cx="117" cy="125"/>
            </a:xfrm>
          </xdr:grpSpPr>
          <xdr:grpSp>
            <xdr:nvGrpSpPr>
              <xdr:cNvPr id="85" name="Group 15"/>
              <xdr:cNvGrpSpPr>
                <a:grpSpLocks/>
              </xdr:cNvGrpSpPr>
            </xdr:nvGrpSpPr>
            <xdr:grpSpPr bwMode="auto">
              <a:xfrm>
                <a:off x="392" y="269"/>
                <a:ext cx="117" cy="125"/>
                <a:chOff x="392" y="269"/>
                <a:chExt cx="117" cy="125"/>
              </a:xfrm>
            </xdr:grpSpPr>
            <xdr:sp macro="" textlink="">
              <xdr:nvSpPr>
                <xdr:cNvPr id="87" name="Oval 16"/>
                <xdr:cNvSpPr>
                  <a:spLocks noChangeArrowheads="1"/>
                </xdr:cNvSpPr>
              </xdr:nvSpPr>
              <xdr:spPr bwMode="auto">
                <a:xfrm>
                  <a:off x="392" y="269"/>
                  <a:ext cx="117" cy="125"/>
                </a:xfrm>
                <a:prstGeom prst="ellipse">
                  <a:avLst/>
                </a:prstGeom>
                <a:solidFill>
                  <a:srgbClr val="FFFFFF"/>
                </a:solidFill>
                <a:ln w="9525">
                  <a:solidFill>
                    <a:srgbClr val="000000"/>
                  </a:solidFill>
                  <a:round/>
                  <a:headEnd/>
                  <a:tailEnd/>
                </a:ln>
              </xdr:spPr>
            </xdr:sp>
            <xdr:sp macro="" textlink="">
              <xdr:nvSpPr>
                <xdr:cNvPr id="88" name="Rectangle 17"/>
                <xdr:cNvSpPr>
                  <a:spLocks noChangeArrowheads="1"/>
                </xdr:cNvSpPr>
              </xdr:nvSpPr>
              <xdr:spPr bwMode="auto">
                <a:xfrm>
                  <a:off x="402" y="298"/>
                  <a:ext cx="65" cy="45"/>
                </a:xfrm>
                <a:prstGeom prst="rect">
                  <a:avLst/>
                </a:prstGeom>
                <a:solidFill>
                  <a:srgbClr val="FFFFFF"/>
                </a:solidFill>
                <a:ln w="9525">
                  <a:solidFill>
                    <a:srgbClr val="FF0000"/>
                  </a:solidFill>
                  <a:miter lim="800000"/>
                  <a:headEnd/>
                  <a:tailEnd/>
                </a:ln>
              </xdr:spPr>
            </xdr:sp>
            <xdr:sp macro="" textlink="">
              <xdr:nvSpPr>
                <xdr:cNvPr id="89" name="Rectangle 18"/>
                <xdr:cNvSpPr>
                  <a:spLocks noChangeArrowheads="1"/>
                </xdr:cNvSpPr>
              </xdr:nvSpPr>
              <xdr:spPr bwMode="auto">
                <a:xfrm>
                  <a:off x="418" y="309"/>
                  <a:ext cx="65" cy="45"/>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0" name="Line 19"/>
                <xdr:cNvSpPr>
                  <a:spLocks noChangeShapeType="1"/>
                </xdr:cNvSpPr>
              </xdr:nvSpPr>
              <xdr:spPr bwMode="auto">
                <a:xfrm>
                  <a:off x="395" y="293"/>
                  <a:ext cx="109" cy="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6" name="Text Box 20"/>
              <xdr:cNvSpPr txBox="1">
                <a:spLocks noChangeArrowheads="1"/>
              </xdr:cNvSpPr>
            </xdr:nvSpPr>
            <xdr:spPr bwMode="auto">
              <a:xfrm>
                <a:off x="440" y="362"/>
                <a:ext cx="25"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c)</a:t>
                </a:r>
              </a:p>
            </xdr:txBody>
          </xdr:sp>
        </xdr:grpSp>
        <xdr:sp macro="" textlink="">
          <xdr:nvSpPr>
            <xdr:cNvPr id="82" name="Line 21"/>
            <xdr:cNvSpPr>
              <a:spLocks noChangeShapeType="1"/>
            </xdr:cNvSpPr>
          </xdr:nvSpPr>
          <xdr:spPr bwMode="auto">
            <a:xfrm flipV="1">
              <a:off x="202" y="451"/>
              <a:ext cx="0" cy="2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3" name="Line 22"/>
            <xdr:cNvSpPr>
              <a:spLocks noChangeShapeType="1"/>
            </xdr:cNvSpPr>
          </xdr:nvSpPr>
          <xdr:spPr bwMode="auto">
            <a:xfrm flipH="1">
              <a:off x="316" y="464"/>
              <a:ext cx="36"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4" name="Line 23"/>
            <xdr:cNvSpPr>
              <a:spLocks noChangeShapeType="1"/>
            </xdr:cNvSpPr>
          </xdr:nvSpPr>
          <xdr:spPr bwMode="auto">
            <a:xfrm flipH="1" flipV="1">
              <a:off x="447" y="459"/>
              <a:ext cx="35" cy="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66" name="AutoShape 24"/>
          <xdr:cNvSpPr>
            <a:spLocks noChangeArrowheads="1"/>
          </xdr:cNvSpPr>
        </xdr:nvSpPr>
        <xdr:spPr bwMode="auto">
          <a:xfrm flipH="1" flipV="1">
            <a:off x="490" y="649"/>
            <a:ext cx="56" cy="22"/>
          </a:xfrm>
          <a:prstGeom prst="rtTriangle">
            <a:avLst/>
          </a:prstGeom>
          <a:solidFill>
            <a:srgbClr xmlns:mc="http://schemas.openxmlformats.org/markup-compatibility/2006" xmlns:a14="http://schemas.microsoft.com/office/drawing/2010/main" val="33CCCC" mc:Ignorable="a14" a14:legacySpreadsheetColorIndex="4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Text Box 25"/>
          <xdr:cNvSpPr txBox="1">
            <a:spLocks noChangeArrowheads="1"/>
          </xdr:cNvSpPr>
        </xdr:nvSpPr>
        <xdr:spPr bwMode="auto">
          <a:xfrm>
            <a:off x="507" y="657"/>
            <a:ext cx="22"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000000"/>
                </a:solidFill>
                <a:latin typeface="Arial"/>
                <a:cs typeface="Arial"/>
              </a:rPr>
              <a:t>r</a:t>
            </a:r>
          </a:p>
        </xdr:txBody>
      </xdr:sp>
      <xdr:sp macro="" textlink="">
        <xdr:nvSpPr>
          <xdr:cNvPr id="68" name="Text Box 26"/>
          <xdr:cNvSpPr txBox="1">
            <a:spLocks noChangeArrowheads="1"/>
          </xdr:cNvSpPr>
        </xdr:nvSpPr>
        <xdr:spPr bwMode="auto">
          <a:xfrm>
            <a:off x="549" y="650"/>
            <a:ext cx="55"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0,5 Fhö</a:t>
            </a:r>
          </a:p>
        </xdr:txBody>
      </xdr:sp>
      <xdr:sp macro="" textlink="">
        <xdr:nvSpPr>
          <xdr:cNvPr id="69" name="Text Box 27"/>
          <xdr:cNvSpPr txBox="1">
            <a:spLocks noChangeArrowheads="1"/>
          </xdr:cNvSpPr>
        </xdr:nvSpPr>
        <xdr:spPr bwMode="auto">
          <a:xfrm>
            <a:off x="510" y="632"/>
            <a:ext cx="33"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000000"/>
                </a:solidFill>
                <a:latin typeface="Arial"/>
                <a:cs typeface="Arial"/>
              </a:rPr>
              <a:t>x</a:t>
            </a:r>
          </a:p>
        </xdr:txBody>
      </xdr:sp>
      <xdr:sp macro="" textlink="">
        <xdr:nvSpPr>
          <xdr:cNvPr id="70" name="Text Box 28"/>
          <xdr:cNvSpPr txBox="1">
            <a:spLocks noChangeArrowheads="1"/>
          </xdr:cNvSpPr>
        </xdr:nvSpPr>
        <xdr:spPr bwMode="auto">
          <a:xfrm>
            <a:off x="536" y="670"/>
            <a:ext cx="33"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000000"/>
                </a:solidFill>
                <a:latin typeface="Arial"/>
                <a:cs typeface="Arial"/>
              </a:rPr>
              <a:t>M</a:t>
            </a:r>
          </a:p>
        </xdr:txBody>
      </xdr:sp>
      <xdr:sp macro="" textlink="">
        <xdr:nvSpPr>
          <xdr:cNvPr id="71" name="Line 29"/>
          <xdr:cNvSpPr>
            <a:spLocks noChangeShapeType="1"/>
          </xdr:cNvSpPr>
        </xdr:nvSpPr>
        <xdr:spPr bwMode="auto">
          <a:xfrm flipH="1">
            <a:off x="491" y="644"/>
            <a:ext cx="20" cy="0"/>
          </a:xfrm>
          <a:prstGeom prst="line">
            <a:avLst/>
          </a:prstGeom>
          <a:noFill/>
          <a:ln w="28575">
            <a:solidFill>
              <a:srgbClr xmlns:mc="http://schemas.openxmlformats.org/markup-compatibility/2006" xmlns:a14="http://schemas.microsoft.com/office/drawing/2010/main" val="FF00FF" mc:Ignorable="a14" a14:legacySpreadsheetColorIndex="1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30"/>
          <xdr:cNvSpPr txBox="1">
            <a:spLocks noChangeArrowheads="1"/>
          </xdr:cNvSpPr>
        </xdr:nvSpPr>
        <xdr:spPr bwMode="auto">
          <a:xfrm>
            <a:off x="493" y="625"/>
            <a:ext cx="33"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FF00FF"/>
                </a:solidFill>
                <a:latin typeface="Arial"/>
                <a:cs typeface="Arial"/>
              </a:rPr>
              <a:t>y</a:t>
            </a:r>
          </a:p>
        </xdr:txBody>
      </xdr:sp>
      <xdr:sp macro="" textlink="">
        <xdr:nvSpPr>
          <xdr:cNvPr id="73" name="AutoShape 31"/>
          <xdr:cNvSpPr>
            <a:spLocks noChangeArrowheads="1"/>
          </xdr:cNvSpPr>
        </xdr:nvSpPr>
        <xdr:spPr bwMode="auto">
          <a:xfrm rot="16200000" flipV="1">
            <a:off x="368" y="628"/>
            <a:ext cx="50" cy="32"/>
          </a:xfrm>
          <a:prstGeom prst="rtTriangle">
            <a:avLst/>
          </a:prstGeom>
          <a:solidFill>
            <a:srgbClr xmlns:mc="http://schemas.openxmlformats.org/markup-compatibility/2006" xmlns:a14="http://schemas.microsoft.com/office/drawing/2010/main" val="33CCCC" mc:Ignorable="a14" a14:legacySpreadsheetColorIndex="4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32"/>
          <xdr:cNvSpPr txBox="1">
            <a:spLocks noChangeArrowheads="1"/>
          </xdr:cNvSpPr>
        </xdr:nvSpPr>
        <xdr:spPr bwMode="auto">
          <a:xfrm>
            <a:off x="407" y="662"/>
            <a:ext cx="33"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000000"/>
                </a:solidFill>
                <a:latin typeface="Arial"/>
                <a:cs typeface="Arial"/>
              </a:rPr>
              <a:t>M</a:t>
            </a:r>
          </a:p>
        </xdr:txBody>
      </xdr:sp>
      <xdr:sp macro="" textlink="">
        <xdr:nvSpPr>
          <xdr:cNvPr id="75" name="Text Box 33"/>
          <xdr:cNvSpPr txBox="1">
            <a:spLocks noChangeArrowheads="1"/>
          </xdr:cNvSpPr>
        </xdr:nvSpPr>
        <xdr:spPr bwMode="auto">
          <a:xfrm>
            <a:off x="358" y="622"/>
            <a:ext cx="33"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FF00FF"/>
                </a:solidFill>
                <a:latin typeface="Arial"/>
                <a:cs typeface="Arial"/>
              </a:rPr>
              <a:t>y</a:t>
            </a:r>
          </a:p>
        </xdr:txBody>
      </xdr:sp>
      <xdr:sp macro="" textlink="">
        <xdr:nvSpPr>
          <xdr:cNvPr id="76" name="Text Box 34"/>
          <xdr:cNvSpPr txBox="1">
            <a:spLocks noChangeArrowheads="1"/>
          </xdr:cNvSpPr>
        </xdr:nvSpPr>
        <xdr:spPr bwMode="auto">
          <a:xfrm>
            <a:off x="360" y="641"/>
            <a:ext cx="33"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000000"/>
                </a:solidFill>
                <a:latin typeface="Arial"/>
                <a:cs typeface="Arial"/>
              </a:rPr>
              <a:t>x</a:t>
            </a:r>
          </a:p>
        </xdr:txBody>
      </xdr:sp>
      <xdr:sp macro="" textlink="">
        <xdr:nvSpPr>
          <xdr:cNvPr id="77" name="Text Box 35"/>
          <xdr:cNvSpPr txBox="1">
            <a:spLocks noChangeArrowheads="1"/>
          </xdr:cNvSpPr>
        </xdr:nvSpPr>
        <xdr:spPr bwMode="auto">
          <a:xfrm>
            <a:off x="383" y="627"/>
            <a:ext cx="22"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 wrap="square" lIns="27432" tIns="0" rIns="0" bIns="0" anchor="t" upright="1"/>
          <a:lstStyle/>
          <a:p>
            <a:pPr algn="l" rtl="0">
              <a:defRPr sz="1000"/>
            </a:pPr>
            <a:r>
              <a:rPr lang="de-DE" sz="1000" b="0" i="0" u="none" strike="noStrike" baseline="0">
                <a:solidFill>
                  <a:srgbClr val="000000"/>
                </a:solidFill>
                <a:latin typeface="Arial"/>
                <a:cs typeface="Arial"/>
              </a:rPr>
              <a:t>r</a:t>
            </a:r>
          </a:p>
        </xdr:txBody>
      </xdr:sp>
      <xdr:sp macro="" textlink="">
        <xdr:nvSpPr>
          <xdr:cNvPr id="78" name="Text Box 36"/>
          <xdr:cNvSpPr txBox="1">
            <a:spLocks noChangeArrowheads="1"/>
          </xdr:cNvSpPr>
        </xdr:nvSpPr>
        <xdr:spPr bwMode="auto">
          <a:xfrm>
            <a:off x="366" y="674"/>
            <a:ext cx="55"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0,5 Fbr</a:t>
            </a:r>
          </a:p>
        </xdr:txBody>
      </xdr:sp>
    </xdr:grpSp>
    <xdr:clientData/>
  </xdr:twoCellAnchor>
  <xdr:twoCellAnchor>
    <xdr:from>
      <xdr:col>5</xdr:col>
      <xdr:colOff>228600</xdr:colOff>
      <xdr:row>83</xdr:row>
      <xdr:rowOff>57150</xdr:rowOff>
    </xdr:from>
    <xdr:to>
      <xdr:col>10</xdr:col>
      <xdr:colOff>180975</xdr:colOff>
      <xdr:row>88</xdr:row>
      <xdr:rowOff>114300</xdr:rowOff>
    </xdr:to>
    <xdr:grpSp>
      <xdr:nvGrpSpPr>
        <xdr:cNvPr id="229" name="Gruppieren 228"/>
        <xdr:cNvGrpSpPr/>
      </xdr:nvGrpSpPr>
      <xdr:grpSpPr>
        <a:xfrm>
          <a:off x="5744441" y="13816445"/>
          <a:ext cx="3762375" cy="957696"/>
          <a:chOff x="5743575" y="13611225"/>
          <a:chExt cx="3762375" cy="952500"/>
        </a:xfrm>
      </xdr:grpSpPr>
      <xdr:sp macro="" textlink="">
        <xdr:nvSpPr>
          <xdr:cNvPr id="101" name="AutoShape 38"/>
          <xdr:cNvSpPr>
            <a:spLocks noChangeArrowheads="1"/>
          </xdr:cNvSpPr>
        </xdr:nvSpPr>
        <xdr:spPr bwMode="auto">
          <a:xfrm flipH="1">
            <a:off x="5743575" y="13611225"/>
            <a:ext cx="2819400" cy="676275"/>
          </a:xfrm>
          <a:prstGeom prst="rtTriangl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8" name="Gruppieren 227"/>
          <xdr:cNvGrpSpPr/>
        </xdr:nvGrpSpPr>
        <xdr:grpSpPr>
          <a:xfrm>
            <a:off x="6267450" y="13839825"/>
            <a:ext cx="3238500" cy="723900"/>
            <a:chOff x="6267450" y="13839825"/>
            <a:chExt cx="3238500" cy="723900"/>
          </a:xfrm>
        </xdr:grpSpPr>
        <xdr:sp macro="" textlink="">
          <xdr:nvSpPr>
            <xdr:cNvPr id="102" name="Text Box 39"/>
            <xdr:cNvSpPr txBox="1">
              <a:spLocks noChangeArrowheads="1"/>
            </xdr:cNvSpPr>
          </xdr:nvSpPr>
          <xdr:spPr bwMode="auto">
            <a:xfrm>
              <a:off x="7191375" y="14316075"/>
              <a:ext cx="128587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Bildweite a'</a:t>
              </a:r>
            </a:p>
          </xdr:txBody>
        </xdr:sp>
        <xdr:sp macro="" textlink="">
          <xdr:nvSpPr>
            <xdr:cNvPr id="103" name="Text Box 40"/>
            <xdr:cNvSpPr txBox="1">
              <a:spLocks noChangeArrowheads="1"/>
            </xdr:cNvSpPr>
          </xdr:nvSpPr>
          <xdr:spPr bwMode="auto">
            <a:xfrm>
              <a:off x="8620125" y="13839825"/>
              <a:ext cx="885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Kreisradius r</a:t>
              </a:r>
            </a:p>
          </xdr:txBody>
        </xdr:sp>
        <xdr:sp macro="" textlink="">
          <xdr:nvSpPr>
            <xdr:cNvPr id="104" name="Text Box 41"/>
            <xdr:cNvSpPr txBox="1">
              <a:spLocks noChangeArrowheads="1"/>
            </xdr:cNvSpPr>
          </xdr:nvSpPr>
          <xdr:spPr bwMode="auto">
            <a:xfrm>
              <a:off x="6267450" y="14144625"/>
              <a:ext cx="1181100"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Halber Bildwinkel</a:t>
              </a:r>
            </a:p>
          </xdr:txBody>
        </xdr:sp>
      </xdr:grpSp>
    </xdr:grpSp>
    <xdr:clientData/>
  </xdr:twoCellAnchor>
  <xdr:twoCellAnchor>
    <xdr:from>
      <xdr:col>3</xdr:col>
      <xdr:colOff>552450</xdr:colOff>
      <xdr:row>47</xdr:row>
      <xdr:rowOff>95250</xdr:rowOff>
    </xdr:from>
    <xdr:to>
      <xdr:col>5</xdr:col>
      <xdr:colOff>742950</xdr:colOff>
      <xdr:row>58</xdr:row>
      <xdr:rowOff>0</xdr:rowOff>
    </xdr:to>
    <xdr:grpSp>
      <xdr:nvGrpSpPr>
        <xdr:cNvPr id="235" name="Gruppieren 234"/>
        <xdr:cNvGrpSpPr/>
      </xdr:nvGrpSpPr>
      <xdr:grpSpPr>
        <a:xfrm>
          <a:off x="4544291" y="7827818"/>
          <a:ext cx="1714500" cy="1714500"/>
          <a:chOff x="4546600" y="7854950"/>
          <a:chExt cx="1714500" cy="1720850"/>
        </a:xfrm>
      </xdr:grpSpPr>
      <xdr:grpSp>
        <xdr:nvGrpSpPr>
          <xdr:cNvPr id="44" name="Group 70"/>
          <xdr:cNvGrpSpPr>
            <a:grpSpLocks/>
          </xdr:cNvGrpSpPr>
        </xdr:nvGrpSpPr>
        <xdr:grpSpPr bwMode="auto">
          <a:xfrm>
            <a:off x="4546600" y="7854950"/>
            <a:ext cx="1714500" cy="1720850"/>
            <a:chOff x="1138" y="98"/>
            <a:chExt cx="180" cy="177"/>
          </a:xfrm>
        </xdr:grpSpPr>
        <xdr:sp macro="" textlink="">
          <xdr:nvSpPr>
            <xdr:cNvPr id="45" name="Oval 61"/>
            <xdr:cNvSpPr>
              <a:spLocks noChangeArrowheads="1"/>
            </xdr:cNvSpPr>
          </xdr:nvSpPr>
          <xdr:spPr bwMode="auto">
            <a:xfrm>
              <a:off x="1138" y="98"/>
              <a:ext cx="177" cy="177"/>
            </a:xfrm>
            <a:prstGeom prst="ellipse">
              <a:avLst/>
            </a:prstGeom>
            <a:solidFill>
              <a:srgbClr val="FFFFFF"/>
            </a:solidFill>
            <a:ln w="9525">
              <a:solidFill>
                <a:srgbClr val="000000"/>
              </a:solidFill>
              <a:round/>
              <a:headEnd/>
              <a:tailEnd/>
            </a:ln>
          </xdr:spPr>
        </xdr:sp>
        <xdr:sp macro="" textlink="">
          <xdr:nvSpPr>
            <xdr:cNvPr id="46" name="Line 62"/>
            <xdr:cNvSpPr>
              <a:spLocks noChangeShapeType="1"/>
            </xdr:cNvSpPr>
          </xdr:nvSpPr>
          <xdr:spPr bwMode="auto">
            <a:xfrm flipH="1" flipV="1">
              <a:off x="1144" y="157"/>
              <a:ext cx="76" cy="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Text Box 63"/>
            <xdr:cNvSpPr txBox="1">
              <a:spLocks noChangeArrowheads="1"/>
            </xdr:cNvSpPr>
          </xdr:nvSpPr>
          <xdr:spPr bwMode="auto">
            <a:xfrm>
              <a:off x="1174" y="160"/>
              <a:ext cx="41" cy="1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Winkel Alpha</a:t>
              </a:r>
            </a:p>
          </xdr:txBody>
        </xdr:sp>
        <xdr:sp macro="" textlink="">
          <xdr:nvSpPr>
            <xdr:cNvPr id="48" name="Line 64"/>
            <xdr:cNvSpPr>
              <a:spLocks noChangeShapeType="1"/>
            </xdr:cNvSpPr>
          </xdr:nvSpPr>
          <xdr:spPr bwMode="auto">
            <a:xfrm rot="-5400000">
              <a:off x="1182" y="119"/>
              <a:ext cx="0" cy="75"/>
            </a:xfrm>
            <a:prstGeom prst="line">
              <a:avLst/>
            </a:prstGeom>
            <a:noFill/>
            <a:ln w="9525">
              <a:solidFill>
                <a:srgbClr val="339966"/>
              </a:solidFill>
              <a:round/>
              <a:headEnd/>
              <a:tailEnd/>
            </a:ln>
            <a:extLst>
              <a:ext uri="{909E8E84-426E-40DD-AFC4-6F175D3DCCD1}">
                <a14:hiddenFill xmlns:a14="http://schemas.microsoft.com/office/drawing/2010/main">
                  <a:noFill/>
                </a14:hiddenFill>
              </a:ext>
            </a:extLst>
          </xdr:spPr>
        </xdr:sp>
        <xdr:sp macro="" textlink="">
          <xdr:nvSpPr>
            <xdr:cNvPr id="49" name="Line 65"/>
            <xdr:cNvSpPr>
              <a:spLocks noChangeShapeType="1"/>
            </xdr:cNvSpPr>
          </xdr:nvSpPr>
          <xdr:spPr bwMode="auto">
            <a:xfrm>
              <a:off x="1220" y="158"/>
              <a:ext cx="0"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Rectangle 66"/>
            <xdr:cNvSpPr>
              <a:spLocks noChangeArrowheads="1"/>
            </xdr:cNvSpPr>
          </xdr:nvSpPr>
          <xdr:spPr bwMode="auto">
            <a:xfrm>
              <a:off x="1172" y="157"/>
              <a:ext cx="95" cy="62"/>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1" name="Freeform 67"/>
            <xdr:cNvSpPr>
              <a:spLocks/>
            </xdr:cNvSpPr>
          </xdr:nvSpPr>
          <xdr:spPr bwMode="auto">
            <a:xfrm rot="1334941">
              <a:off x="1207" y="166"/>
              <a:ext cx="10" cy="19"/>
            </a:xfrm>
            <a:custGeom>
              <a:avLst/>
              <a:gdLst>
                <a:gd name="T0" fmla="*/ 5 w 11"/>
                <a:gd name="T1" fmla="*/ 0 h 21"/>
                <a:gd name="T2" fmla="*/ 5 w 11"/>
                <a:gd name="T3" fmla="*/ 3 h 21"/>
                <a:gd name="T4" fmla="*/ 2 w 11"/>
                <a:gd name="T5" fmla="*/ 5 h 21"/>
                <a:gd name="T6" fmla="*/ 0 w 11"/>
                <a:gd name="T7" fmla="*/ 5 h 21"/>
                <a:gd name="T8" fmla="*/ 1 w 11"/>
                <a:gd name="T9" fmla="*/ 5 h 21"/>
                <a:gd name="T10" fmla="*/ 0 60000 65536"/>
                <a:gd name="T11" fmla="*/ 0 60000 65536"/>
                <a:gd name="T12" fmla="*/ 0 60000 65536"/>
                <a:gd name="T13" fmla="*/ 0 60000 65536"/>
                <a:gd name="T14" fmla="*/ 0 60000 65536"/>
                <a:gd name="T15" fmla="*/ 0 w 11"/>
                <a:gd name="T16" fmla="*/ 0 h 21"/>
                <a:gd name="T17" fmla="*/ 11 w 11"/>
                <a:gd name="T18" fmla="*/ 21 h 21"/>
              </a:gdLst>
              <a:ahLst/>
              <a:cxnLst>
                <a:cxn ang="T10">
                  <a:pos x="T0" y="T1"/>
                </a:cxn>
                <a:cxn ang="T11">
                  <a:pos x="T2" y="T3"/>
                </a:cxn>
                <a:cxn ang="T12">
                  <a:pos x="T4" y="T5"/>
                </a:cxn>
                <a:cxn ang="T13">
                  <a:pos x="T6" y="T7"/>
                </a:cxn>
                <a:cxn ang="T14">
                  <a:pos x="T8" y="T9"/>
                </a:cxn>
              </a:cxnLst>
              <a:rect l="T15" t="T16" r="T17" b="T18"/>
              <a:pathLst>
                <a:path w="11" h="21">
                  <a:moveTo>
                    <a:pt x="11" y="0"/>
                  </a:moveTo>
                  <a:lnTo>
                    <a:pt x="6" y="3"/>
                  </a:lnTo>
                  <a:lnTo>
                    <a:pt x="2" y="8"/>
                  </a:lnTo>
                  <a:lnTo>
                    <a:pt x="0" y="15"/>
                  </a:lnTo>
                  <a:lnTo>
                    <a:pt x="1" y="21"/>
                  </a:lnTo>
                </a:path>
              </a:pathLst>
            </a:cu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Text Box 68"/>
            <xdr:cNvSpPr txBox="1">
              <a:spLocks noChangeArrowheads="1"/>
            </xdr:cNvSpPr>
          </xdr:nvSpPr>
          <xdr:spPr bwMode="auto">
            <a:xfrm>
              <a:off x="1138" y="167"/>
              <a:ext cx="43" cy="1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Radius</a:t>
              </a:r>
            </a:p>
          </xdr:txBody>
        </xdr:sp>
        <xdr:sp macro="" textlink="">
          <xdr:nvSpPr>
            <xdr:cNvPr id="53" name="Text Box 69"/>
            <xdr:cNvSpPr txBox="1">
              <a:spLocks noChangeArrowheads="1"/>
            </xdr:cNvSpPr>
          </xdr:nvSpPr>
          <xdr:spPr bwMode="auto">
            <a:xfrm>
              <a:off x="1223" y="163"/>
              <a:ext cx="95" cy="1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halbe Formathöhe</a:t>
              </a:r>
            </a:p>
          </xdr:txBody>
        </xdr:sp>
      </xdr:grpSp>
      <xdr:sp macro="" textlink="">
        <xdr:nvSpPr>
          <xdr:cNvPr id="230" name="Text Box 20"/>
          <xdr:cNvSpPr txBox="1">
            <a:spLocks noChangeArrowheads="1"/>
          </xdr:cNvSpPr>
        </xdr:nvSpPr>
        <xdr:spPr bwMode="auto">
          <a:xfrm>
            <a:off x="4889500" y="8204200"/>
            <a:ext cx="247188" cy="18645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B050"/>
                </a:solidFill>
                <a:latin typeface="Arial"/>
                <a:cs typeface="Arial"/>
              </a:rPr>
              <a:t>x</a:t>
            </a:r>
          </a:p>
        </xdr:txBody>
      </xdr:sp>
    </xdr:grpSp>
    <xdr:clientData/>
  </xdr:twoCellAnchor>
  <xdr:twoCellAnchor>
    <xdr:from>
      <xdr:col>3</xdr:col>
      <xdr:colOff>695325</xdr:colOff>
      <xdr:row>61</xdr:row>
      <xdr:rowOff>0</xdr:rowOff>
    </xdr:from>
    <xdr:to>
      <xdr:col>6</xdr:col>
      <xdr:colOff>95250</xdr:colOff>
      <xdr:row>71</xdr:row>
      <xdr:rowOff>66675</xdr:rowOff>
    </xdr:to>
    <xdr:grpSp>
      <xdr:nvGrpSpPr>
        <xdr:cNvPr id="236" name="Gruppieren 235"/>
        <xdr:cNvGrpSpPr/>
      </xdr:nvGrpSpPr>
      <xdr:grpSpPr>
        <a:xfrm>
          <a:off x="4687166" y="10035886"/>
          <a:ext cx="1685925" cy="1711903"/>
          <a:chOff x="4689475" y="10071100"/>
          <a:chExt cx="1685925" cy="1717675"/>
        </a:xfrm>
      </xdr:grpSpPr>
      <xdr:grpSp>
        <xdr:nvGrpSpPr>
          <xdr:cNvPr id="54" name="Group 71"/>
          <xdr:cNvGrpSpPr>
            <a:grpSpLocks/>
          </xdr:cNvGrpSpPr>
        </xdr:nvGrpSpPr>
        <xdr:grpSpPr bwMode="auto">
          <a:xfrm>
            <a:off x="4689475" y="10071100"/>
            <a:ext cx="1685925" cy="1717675"/>
            <a:chOff x="696" y="89"/>
            <a:chExt cx="177" cy="177"/>
          </a:xfrm>
        </xdr:grpSpPr>
        <xdr:sp macro="" textlink="">
          <xdr:nvSpPr>
            <xdr:cNvPr id="55" name="Oval 4"/>
            <xdr:cNvSpPr>
              <a:spLocks noChangeArrowheads="1"/>
            </xdr:cNvSpPr>
          </xdr:nvSpPr>
          <xdr:spPr bwMode="auto">
            <a:xfrm>
              <a:off x="696" y="89"/>
              <a:ext cx="177" cy="177"/>
            </a:xfrm>
            <a:prstGeom prst="ellipse">
              <a:avLst/>
            </a:prstGeom>
            <a:solidFill>
              <a:srgbClr val="FFFFFF"/>
            </a:solidFill>
            <a:ln w="9525">
              <a:solidFill>
                <a:srgbClr val="000000"/>
              </a:solidFill>
              <a:round/>
              <a:headEnd/>
              <a:tailEnd/>
            </a:ln>
          </xdr:spPr>
        </xdr:sp>
        <xdr:sp macro="" textlink="">
          <xdr:nvSpPr>
            <xdr:cNvPr id="56" name="Line 5"/>
            <xdr:cNvSpPr>
              <a:spLocks noChangeShapeType="1"/>
            </xdr:cNvSpPr>
          </xdr:nvSpPr>
          <xdr:spPr bwMode="auto">
            <a:xfrm flipH="1" flipV="1">
              <a:off x="731" y="109"/>
              <a:ext cx="54" cy="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Text Box 10"/>
            <xdr:cNvSpPr txBox="1">
              <a:spLocks noChangeArrowheads="1"/>
            </xdr:cNvSpPr>
          </xdr:nvSpPr>
          <xdr:spPr bwMode="auto">
            <a:xfrm>
              <a:off x="774" y="163"/>
              <a:ext cx="61" cy="1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Winkel Alpha</a:t>
              </a:r>
            </a:p>
          </xdr:txBody>
        </xdr:sp>
        <xdr:sp macro="" textlink="">
          <xdr:nvSpPr>
            <xdr:cNvPr id="58" name="Line 16"/>
            <xdr:cNvSpPr>
              <a:spLocks noChangeShapeType="1"/>
            </xdr:cNvSpPr>
          </xdr:nvSpPr>
          <xdr:spPr bwMode="auto">
            <a:xfrm>
              <a:off x="730" y="109"/>
              <a:ext cx="0" cy="70"/>
            </a:xfrm>
            <a:prstGeom prst="line">
              <a:avLst/>
            </a:prstGeom>
            <a:noFill/>
            <a:ln w="9525">
              <a:solidFill>
                <a:srgbClr val="339966"/>
              </a:solidFill>
              <a:round/>
              <a:headEnd/>
              <a:tailEnd/>
            </a:ln>
            <a:extLst>
              <a:ext uri="{909E8E84-426E-40DD-AFC4-6F175D3DCCD1}">
                <a14:hiddenFill xmlns:a14="http://schemas.microsoft.com/office/drawing/2010/main">
                  <a:noFill/>
                </a14:hiddenFill>
              </a:ext>
            </a:extLst>
          </xdr:spPr>
        </xdr:sp>
        <xdr:sp macro="" textlink="">
          <xdr:nvSpPr>
            <xdr:cNvPr id="59" name="Line 17"/>
            <xdr:cNvSpPr>
              <a:spLocks noChangeShapeType="1"/>
            </xdr:cNvSpPr>
          </xdr:nvSpPr>
          <xdr:spPr bwMode="auto">
            <a:xfrm>
              <a:off x="731" y="179"/>
              <a:ext cx="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0" name="Rectangle 21"/>
            <xdr:cNvSpPr>
              <a:spLocks noChangeArrowheads="1"/>
            </xdr:cNvSpPr>
          </xdr:nvSpPr>
          <xdr:spPr bwMode="auto">
            <a:xfrm>
              <a:off x="730" y="148"/>
              <a:ext cx="95" cy="62"/>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1" name="Freeform 25"/>
            <xdr:cNvSpPr>
              <a:spLocks/>
            </xdr:cNvSpPr>
          </xdr:nvSpPr>
          <xdr:spPr bwMode="auto">
            <a:xfrm>
              <a:off x="761" y="160"/>
              <a:ext cx="10" cy="19"/>
            </a:xfrm>
            <a:custGeom>
              <a:avLst/>
              <a:gdLst>
                <a:gd name="T0" fmla="*/ 5 w 11"/>
                <a:gd name="T1" fmla="*/ 0 h 21"/>
                <a:gd name="T2" fmla="*/ 5 w 11"/>
                <a:gd name="T3" fmla="*/ 3 h 21"/>
                <a:gd name="T4" fmla="*/ 2 w 11"/>
                <a:gd name="T5" fmla="*/ 5 h 21"/>
                <a:gd name="T6" fmla="*/ 0 w 11"/>
                <a:gd name="T7" fmla="*/ 5 h 21"/>
                <a:gd name="T8" fmla="*/ 1 w 11"/>
                <a:gd name="T9" fmla="*/ 5 h 21"/>
                <a:gd name="T10" fmla="*/ 0 60000 65536"/>
                <a:gd name="T11" fmla="*/ 0 60000 65536"/>
                <a:gd name="T12" fmla="*/ 0 60000 65536"/>
                <a:gd name="T13" fmla="*/ 0 60000 65536"/>
                <a:gd name="T14" fmla="*/ 0 60000 65536"/>
                <a:gd name="T15" fmla="*/ 0 w 11"/>
                <a:gd name="T16" fmla="*/ 0 h 21"/>
                <a:gd name="T17" fmla="*/ 11 w 11"/>
                <a:gd name="T18" fmla="*/ 21 h 21"/>
              </a:gdLst>
              <a:ahLst/>
              <a:cxnLst>
                <a:cxn ang="T10">
                  <a:pos x="T0" y="T1"/>
                </a:cxn>
                <a:cxn ang="T11">
                  <a:pos x="T2" y="T3"/>
                </a:cxn>
                <a:cxn ang="T12">
                  <a:pos x="T4" y="T5"/>
                </a:cxn>
                <a:cxn ang="T13">
                  <a:pos x="T6" y="T7"/>
                </a:cxn>
                <a:cxn ang="T14">
                  <a:pos x="T8" y="T9"/>
                </a:cxn>
              </a:cxnLst>
              <a:rect l="T15" t="T16" r="T17" b="T18"/>
              <a:pathLst>
                <a:path w="11" h="21">
                  <a:moveTo>
                    <a:pt x="11" y="0"/>
                  </a:moveTo>
                  <a:lnTo>
                    <a:pt x="6" y="3"/>
                  </a:lnTo>
                  <a:lnTo>
                    <a:pt x="2" y="8"/>
                  </a:lnTo>
                  <a:lnTo>
                    <a:pt x="0" y="15"/>
                  </a:lnTo>
                  <a:lnTo>
                    <a:pt x="1" y="21"/>
                  </a:lnTo>
                </a:path>
              </a:pathLst>
            </a:cu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Text Box 37"/>
            <xdr:cNvSpPr txBox="1">
              <a:spLocks noChangeArrowheads="1"/>
            </xdr:cNvSpPr>
          </xdr:nvSpPr>
          <xdr:spPr bwMode="auto">
            <a:xfrm>
              <a:off x="755" y="120"/>
              <a:ext cx="43" cy="1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Radius</a:t>
              </a:r>
            </a:p>
          </xdr:txBody>
        </xdr:sp>
        <xdr:sp macro="" textlink="">
          <xdr:nvSpPr>
            <xdr:cNvPr id="63" name="Text Box 38"/>
            <xdr:cNvSpPr txBox="1">
              <a:spLocks noChangeArrowheads="1"/>
            </xdr:cNvSpPr>
          </xdr:nvSpPr>
          <xdr:spPr bwMode="auto">
            <a:xfrm>
              <a:off x="736" y="181"/>
              <a:ext cx="73" cy="2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halbe </a:t>
              </a:r>
            </a:p>
            <a:p>
              <a:pPr algn="l" rtl="0">
                <a:defRPr sz="1000"/>
              </a:pPr>
              <a:r>
                <a:rPr lang="de-DE" sz="800" b="0" i="0" strike="noStrike">
                  <a:solidFill>
                    <a:srgbClr val="000000"/>
                  </a:solidFill>
                  <a:latin typeface="Arial"/>
                  <a:cs typeface="Arial"/>
                </a:rPr>
                <a:t>Formatbreite</a:t>
              </a:r>
            </a:p>
          </xdr:txBody>
        </xdr:sp>
      </xdr:grpSp>
      <xdr:sp macro="" textlink="">
        <xdr:nvSpPr>
          <xdr:cNvPr id="234" name="Text Box 20"/>
          <xdr:cNvSpPr txBox="1">
            <a:spLocks noChangeArrowheads="1"/>
          </xdr:cNvSpPr>
        </xdr:nvSpPr>
        <xdr:spPr bwMode="auto">
          <a:xfrm>
            <a:off x="4806950" y="10579100"/>
            <a:ext cx="247188" cy="18645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B050"/>
                </a:solidFill>
                <a:latin typeface="Arial"/>
                <a:cs typeface="Arial"/>
              </a:rPr>
              <a:t>x</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978958</xdr:colOff>
      <xdr:row>61</xdr:row>
      <xdr:rowOff>104775</xdr:rowOff>
    </xdr:from>
    <xdr:to>
      <xdr:col>18</xdr:col>
      <xdr:colOff>26458</xdr:colOff>
      <xdr:row>83</xdr:row>
      <xdr:rowOff>60325</xdr:rowOff>
    </xdr:to>
    <xdr:grpSp>
      <xdr:nvGrpSpPr>
        <xdr:cNvPr id="2" name="Group 12"/>
        <xdr:cNvGrpSpPr>
          <a:grpSpLocks/>
        </xdr:cNvGrpSpPr>
      </xdr:nvGrpSpPr>
      <xdr:grpSpPr bwMode="auto">
        <a:xfrm>
          <a:off x="12301802" y="10320338"/>
          <a:ext cx="5262562" cy="3622675"/>
          <a:chOff x="680" y="505"/>
          <a:chExt cx="420" cy="369"/>
        </a:xfrm>
      </xdr:grpSpPr>
      <xdr:pic>
        <xdr:nvPicPr>
          <xdr:cNvPr id="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 y="505"/>
            <a:ext cx="420" cy="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Text Box 11"/>
          <xdr:cNvSpPr txBox="1">
            <a:spLocks noChangeArrowheads="1"/>
          </xdr:cNvSpPr>
        </xdr:nvSpPr>
        <xdr:spPr bwMode="auto">
          <a:xfrm>
            <a:off x="756" y="841"/>
            <a:ext cx="338" cy="33"/>
          </a:xfrm>
          <a:prstGeom prst="rect">
            <a:avLst/>
          </a:prstGeom>
          <a:noFill/>
          <a:ln w="9525">
            <a:noFill/>
            <a:miter lim="800000"/>
            <a:headEnd/>
            <a:tailEnd/>
          </a:ln>
        </xdr:spPr>
        <xdr:txBody>
          <a:bodyPr wrap="none" lIns="18288" tIns="22860" rIns="0" bIns="0" anchor="t" upright="1">
            <a:spAutoFit/>
          </a:bodyPr>
          <a:lstStyle/>
          <a:p>
            <a:pPr algn="l" rtl="0">
              <a:defRPr sz="1000"/>
            </a:pPr>
            <a:r>
              <a:rPr lang="de-DE" sz="1000" b="0" i="0" strike="noStrike">
                <a:solidFill>
                  <a:srgbClr val="000000"/>
                </a:solidFill>
                <a:latin typeface="Arial"/>
                <a:cs typeface="Arial"/>
              </a:rPr>
              <a:t>Ellipsen-Fläche =  Pi() * a * b entspricht </a:t>
            </a:r>
          </a:p>
          <a:p>
            <a:pPr algn="l" rtl="0">
              <a:defRPr sz="1000"/>
            </a:pPr>
            <a:r>
              <a:rPr lang="de-DE" sz="1000" b="0" i="0" strike="noStrike">
                <a:solidFill>
                  <a:srgbClr val="000000"/>
                </a:solidFill>
                <a:latin typeface="Arial"/>
                <a:cs typeface="Arial"/>
              </a:rPr>
              <a:t>Kreisflächenformel pi() * r ², wobei aus r * r nun a * b wird</a:t>
            </a:r>
          </a:p>
        </xdr:txBody>
      </xdr:sp>
    </xdr:grpSp>
    <xdr:clientData/>
  </xdr:twoCellAnchor>
  <xdr:twoCellAnchor editAs="oneCell">
    <xdr:from>
      <xdr:col>9</xdr:col>
      <xdr:colOff>657225</xdr:colOff>
      <xdr:row>47</xdr:row>
      <xdr:rowOff>92075</xdr:rowOff>
    </xdr:from>
    <xdr:to>
      <xdr:col>11</xdr:col>
      <xdr:colOff>648566</xdr:colOff>
      <xdr:row>54</xdr:row>
      <xdr:rowOff>101601</xdr:rowOff>
    </xdr:to>
    <xdr:pic>
      <xdr:nvPicPr>
        <xdr:cNvPr id="22" name="Picture 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7975" y="6188075"/>
          <a:ext cx="1714500" cy="112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19050</xdr:colOff>
      <xdr:row>44</xdr:row>
      <xdr:rowOff>57150</xdr:rowOff>
    </xdr:from>
    <xdr:to>
      <xdr:col>3</xdr:col>
      <xdr:colOff>723900</xdr:colOff>
      <xdr:row>61</xdr:row>
      <xdr:rowOff>47624</xdr:rowOff>
    </xdr:to>
    <xdr:pic>
      <xdr:nvPicPr>
        <xdr:cNvPr id="23" name="Pictur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1050" y="5781675"/>
          <a:ext cx="449580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228600</xdr:colOff>
      <xdr:row>62</xdr:row>
      <xdr:rowOff>57150</xdr:rowOff>
    </xdr:from>
    <xdr:to>
      <xdr:col>3</xdr:col>
      <xdr:colOff>276225</xdr:colOff>
      <xdr:row>80</xdr:row>
      <xdr:rowOff>19050</xdr:rowOff>
    </xdr:to>
    <xdr:pic>
      <xdr:nvPicPr>
        <xdr:cNvPr id="24" name="Picture 3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0600" y="8696325"/>
          <a:ext cx="3838575"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247650</xdr:colOff>
      <xdr:row>80</xdr:row>
      <xdr:rowOff>142875</xdr:rowOff>
    </xdr:from>
    <xdr:to>
      <xdr:col>3</xdr:col>
      <xdr:colOff>295275</xdr:colOff>
      <xdr:row>98</xdr:row>
      <xdr:rowOff>104775</xdr:rowOff>
    </xdr:to>
    <xdr:pic>
      <xdr:nvPicPr>
        <xdr:cNvPr id="25" name="Picture 4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9650" y="11696700"/>
          <a:ext cx="3838575"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257175</xdr:colOff>
      <xdr:row>62</xdr:row>
      <xdr:rowOff>76200</xdr:rowOff>
    </xdr:from>
    <xdr:to>
      <xdr:col>11</xdr:col>
      <xdr:colOff>1048616</xdr:colOff>
      <xdr:row>86</xdr:row>
      <xdr:rowOff>85725</xdr:rowOff>
    </xdr:to>
    <xdr:pic>
      <xdr:nvPicPr>
        <xdr:cNvPr id="26" name="Picture 4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72125" y="8715375"/>
          <a:ext cx="4467225" cy="389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202142</xdr:colOff>
      <xdr:row>46</xdr:row>
      <xdr:rowOff>62442</xdr:rowOff>
    </xdr:from>
    <xdr:to>
      <xdr:col>9</xdr:col>
      <xdr:colOff>225425</xdr:colOff>
      <xdr:row>55</xdr:row>
      <xdr:rowOff>100541</xdr:rowOff>
    </xdr:to>
    <xdr:pic>
      <xdr:nvPicPr>
        <xdr:cNvPr id="27" name="Picture 42"/>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514975" y="5999692"/>
          <a:ext cx="19812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14</xdr:col>
      <xdr:colOff>123825</xdr:colOff>
      <xdr:row>391</xdr:row>
      <xdr:rowOff>28575</xdr:rowOff>
    </xdr:from>
    <xdr:to>
      <xdr:col>20</xdr:col>
      <xdr:colOff>371475</xdr:colOff>
      <xdr:row>407</xdr:row>
      <xdr:rowOff>19050</xdr:rowOff>
    </xdr:to>
    <xdr:graphicFrame macro="">
      <xdr:nvGraphicFramePr>
        <xdr:cNvPr id="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552449</xdr:colOff>
      <xdr:row>114</xdr:row>
      <xdr:rowOff>142875</xdr:rowOff>
    </xdr:from>
    <xdr:to>
      <xdr:col>10</xdr:col>
      <xdr:colOff>511967</xdr:colOff>
      <xdr:row>120</xdr:row>
      <xdr:rowOff>76200</xdr:rowOff>
    </xdr:to>
    <xdr:grpSp>
      <xdr:nvGrpSpPr>
        <xdr:cNvPr id="54" name="Group 14"/>
        <xdr:cNvGrpSpPr>
          <a:grpSpLocks/>
        </xdr:cNvGrpSpPr>
      </xdr:nvGrpSpPr>
      <xdr:grpSpPr bwMode="auto">
        <a:xfrm>
          <a:off x="5862637" y="19216688"/>
          <a:ext cx="2674143" cy="933450"/>
          <a:chOff x="570" y="129"/>
          <a:chExt cx="282" cy="95"/>
        </a:xfrm>
      </xdr:grpSpPr>
      <xdr:sp macro="" textlink="">
        <xdr:nvSpPr>
          <xdr:cNvPr id="55" name="Line 1"/>
          <xdr:cNvSpPr>
            <a:spLocks noChangeShapeType="1"/>
          </xdr:cNvSpPr>
        </xdr:nvSpPr>
        <xdr:spPr bwMode="auto">
          <a:xfrm>
            <a:off x="852" y="129"/>
            <a:ext cx="0" cy="92"/>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56" name="Rectangle 2"/>
          <xdr:cNvSpPr>
            <a:spLocks noChangeArrowheads="1"/>
          </xdr:cNvSpPr>
        </xdr:nvSpPr>
        <xdr:spPr bwMode="auto">
          <a:xfrm>
            <a:off x="570" y="130"/>
            <a:ext cx="145" cy="93"/>
          </a:xfrm>
          <a:prstGeom prst="rect">
            <a:avLst/>
          </a:prstGeom>
          <a:solidFill>
            <a:srgbClr val="FFFFFF"/>
          </a:solidFill>
          <a:ln w="9525">
            <a:solidFill>
              <a:srgbClr val="000000"/>
            </a:solidFill>
            <a:miter lim="800000"/>
            <a:headEnd/>
            <a:tailEnd/>
          </a:ln>
        </xdr:spPr>
      </xdr:sp>
      <xdr:sp macro="" textlink="">
        <xdr:nvSpPr>
          <xdr:cNvPr id="57" name="Line 3"/>
          <xdr:cNvSpPr>
            <a:spLocks noChangeShapeType="1"/>
          </xdr:cNvSpPr>
        </xdr:nvSpPr>
        <xdr:spPr bwMode="auto">
          <a:xfrm>
            <a:off x="571" y="130"/>
            <a:ext cx="143" cy="94"/>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58" name="Line 4"/>
          <xdr:cNvSpPr>
            <a:spLocks noChangeShapeType="1"/>
          </xdr:cNvSpPr>
        </xdr:nvSpPr>
        <xdr:spPr bwMode="auto">
          <a:xfrm>
            <a:off x="734" y="177"/>
            <a:ext cx="118"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59" name="Line 5"/>
          <xdr:cNvSpPr>
            <a:spLocks noChangeShapeType="1"/>
          </xdr:cNvSpPr>
        </xdr:nvSpPr>
        <xdr:spPr bwMode="auto">
          <a:xfrm flipV="1">
            <a:off x="735" y="129"/>
            <a:ext cx="116"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0" name="Arc 12"/>
          <xdr:cNvSpPr>
            <a:spLocks/>
          </xdr:cNvSpPr>
        </xdr:nvSpPr>
        <xdr:spPr bwMode="auto">
          <a:xfrm rot="2581504">
            <a:off x="769" y="152"/>
            <a:ext cx="23" cy="58"/>
          </a:xfrm>
          <a:custGeom>
            <a:avLst/>
            <a:gdLst>
              <a:gd name="T0" fmla="*/ 0 w 15029"/>
              <a:gd name="T1" fmla="*/ 0 h 21600"/>
              <a:gd name="T2" fmla="*/ 0 w 15029"/>
              <a:gd name="T3" fmla="*/ 0 h 21600"/>
              <a:gd name="T4" fmla="*/ 0 w 15029"/>
              <a:gd name="T5" fmla="*/ 0 h 21600"/>
              <a:gd name="T6" fmla="*/ 0 60000 65536"/>
              <a:gd name="T7" fmla="*/ 0 60000 65536"/>
              <a:gd name="T8" fmla="*/ 0 60000 65536"/>
              <a:gd name="T9" fmla="*/ 0 w 15029"/>
              <a:gd name="T10" fmla="*/ 0 h 21600"/>
              <a:gd name="T11" fmla="*/ 15029 w 15029"/>
              <a:gd name="T12" fmla="*/ 21600 h 21600"/>
            </a:gdLst>
            <a:ahLst/>
            <a:cxnLst>
              <a:cxn ang="T6">
                <a:pos x="T0" y="T1"/>
              </a:cxn>
              <a:cxn ang="T7">
                <a:pos x="T2" y="T3"/>
              </a:cxn>
              <a:cxn ang="T8">
                <a:pos x="T4" y="T5"/>
              </a:cxn>
            </a:cxnLst>
            <a:rect l="T9" t="T10" r="T11" b="T12"/>
            <a:pathLst>
              <a:path w="15029" h="21600" fill="none" extrusionOk="0">
                <a:moveTo>
                  <a:pt x="-1" y="0"/>
                </a:moveTo>
                <a:cubicBezTo>
                  <a:pt x="5609" y="0"/>
                  <a:pt x="10999" y="2182"/>
                  <a:pt x="15029" y="6085"/>
                </a:cubicBezTo>
              </a:path>
              <a:path w="15029" h="21600" stroke="0" extrusionOk="0">
                <a:moveTo>
                  <a:pt x="-1" y="0"/>
                </a:moveTo>
                <a:cubicBezTo>
                  <a:pt x="5609" y="0"/>
                  <a:pt x="10999" y="2182"/>
                  <a:pt x="15029" y="6085"/>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0</xdr:colOff>
      <xdr:row>127</xdr:row>
      <xdr:rowOff>47625</xdr:rowOff>
    </xdr:from>
    <xdr:to>
      <xdr:col>9</xdr:col>
      <xdr:colOff>464343</xdr:colOff>
      <xdr:row>132</xdr:row>
      <xdr:rowOff>76200</xdr:rowOff>
    </xdr:to>
    <xdr:grpSp>
      <xdr:nvGrpSpPr>
        <xdr:cNvPr id="61" name="Group 18"/>
        <xdr:cNvGrpSpPr>
          <a:grpSpLocks/>
        </xdr:cNvGrpSpPr>
      </xdr:nvGrpSpPr>
      <xdr:grpSpPr bwMode="auto">
        <a:xfrm>
          <a:off x="5917406" y="21288375"/>
          <a:ext cx="1809750" cy="862013"/>
          <a:chOff x="468" y="354"/>
          <a:chExt cx="165" cy="88"/>
        </a:xfrm>
      </xdr:grpSpPr>
      <xdr:sp macro="" textlink="">
        <xdr:nvSpPr>
          <xdr:cNvPr id="62" name="Oval 15"/>
          <xdr:cNvSpPr>
            <a:spLocks noChangeArrowheads="1"/>
          </xdr:cNvSpPr>
        </xdr:nvSpPr>
        <xdr:spPr bwMode="auto">
          <a:xfrm>
            <a:off x="468" y="354"/>
            <a:ext cx="165" cy="88"/>
          </a:xfrm>
          <a:prstGeom prst="ellipse">
            <a:avLst/>
          </a:prstGeom>
          <a:solidFill>
            <a:srgbClr val="FFFFFF"/>
          </a:solidFill>
          <a:ln w="9525">
            <a:solidFill>
              <a:srgbClr val="000000"/>
            </a:solidFill>
            <a:round/>
            <a:headEnd/>
            <a:tailEnd/>
          </a:ln>
        </xdr:spPr>
      </xdr:sp>
      <xdr:sp macro="" textlink="">
        <xdr:nvSpPr>
          <xdr:cNvPr id="63" name="Line 16"/>
          <xdr:cNvSpPr>
            <a:spLocks noChangeShapeType="1"/>
          </xdr:cNvSpPr>
        </xdr:nvSpPr>
        <xdr:spPr bwMode="auto">
          <a:xfrm>
            <a:off x="553" y="397"/>
            <a:ext cx="80" cy="0"/>
          </a:xfrm>
          <a:prstGeom prst="line">
            <a:avLst/>
          </a:prstGeom>
          <a:noFill/>
          <a:ln w="9525">
            <a:solidFill>
              <a:srgbClr val="99CC00"/>
            </a:solidFill>
            <a:round/>
            <a:headEnd/>
            <a:tailEnd/>
          </a:ln>
          <a:extLst>
            <a:ext uri="{909E8E84-426E-40DD-AFC4-6F175D3DCCD1}">
              <a14:hiddenFill xmlns:a14="http://schemas.microsoft.com/office/drawing/2010/main">
                <a:noFill/>
              </a14:hiddenFill>
            </a:ext>
          </a:extLst>
        </xdr:spPr>
      </xdr:sp>
      <xdr:sp macro="" textlink="">
        <xdr:nvSpPr>
          <xdr:cNvPr id="64" name="Line 17"/>
          <xdr:cNvSpPr>
            <a:spLocks noChangeShapeType="1"/>
          </xdr:cNvSpPr>
        </xdr:nvSpPr>
        <xdr:spPr bwMode="auto">
          <a:xfrm flipV="1">
            <a:off x="553" y="354"/>
            <a:ext cx="0" cy="43"/>
          </a:xfrm>
          <a:prstGeom prst="line">
            <a:avLst/>
          </a:prstGeom>
          <a:noFill/>
          <a:ln w="9525">
            <a:solidFill>
              <a:srgbClr val="FF99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390524</xdr:colOff>
      <xdr:row>141</xdr:row>
      <xdr:rowOff>142875</xdr:rowOff>
    </xdr:from>
    <xdr:to>
      <xdr:col>9</xdr:col>
      <xdr:colOff>535780</xdr:colOff>
      <xdr:row>150</xdr:row>
      <xdr:rowOff>76200</xdr:rowOff>
    </xdr:to>
    <xdr:grpSp>
      <xdr:nvGrpSpPr>
        <xdr:cNvPr id="76" name="Gruppieren 75"/>
        <xdr:cNvGrpSpPr/>
      </xdr:nvGrpSpPr>
      <xdr:grpSpPr>
        <a:xfrm>
          <a:off x="6307930" y="23717250"/>
          <a:ext cx="1490663" cy="1433513"/>
          <a:chOff x="6307931" y="28074938"/>
          <a:chExt cx="628650" cy="1409700"/>
        </a:xfrm>
      </xdr:grpSpPr>
      <xdr:grpSp>
        <xdr:nvGrpSpPr>
          <xdr:cNvPr id="75" name="Gruppieren 74"/>
          <xdr:cNvGrpSpPr/>
        </xdr:nvGrpSpPr>
        <xdr:grpSpPr>
          <a:xfrm>
            <a:off x="6307931" y="28074938"/>
            <a:ext cx="628650" cy="1409700"/>
            <a:chOff x="6307931" y="28074938"/>
            <a:chExt cx="628650" cy="1409700"/>
          </a:xfrm>
        </xdr:grpSpPr>
        <xdr:sp macro="" textlink="">
          <xdr:nvSpPr>
            <xdr:cNvPr id="65" name="Rechteck 64"/>
            <xdr:cNvSpPr/>
          </xdr:nvSpPr>
          <xdr:spPr bwMode="auto">
            <a:xfrm>
              <a:off x="6355651" y="28455936"/>
              <a:ext cx="544623" cy="69056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66" name="Ellipse 65"/>
            <xdr:cNvSpPr/>
          </xdr:nvSpPr>
          <xdr:spPr bwMode="auto">
            <a:xfrm>
              <a:off x="6307931" y="28074938"/>
              <a:ext cx="628650" cy="1409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grpSp>
      <xdr:cxnSp macro="">
        <xdr:nvCxnSpPr>
          <xdr:cNvPr id="67" name="Gerade Verbindung 66"/>
          <xdr:cNvCxnSpPr/>
        </xdr:nvCxnSpPr>
        <xdr:spPr bwMode="auto">
          <a:xfrm flipV="1">
            <a:off x="6354126" y="28484736"/>
            <a:ext cx="557349" cy="655673"/>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grpSp>
    <xdr:clientData/>
  </xdr:twoCellAnchor>
  <xdr:twoCellAnchor>
    <xdr:from>
      <xdr:col>11</xdr:col>
      <xdr:colOff>240366</xdr:colOff>
      <xdr:row>153</xdr:row>
      <xdr:rowOff>36419</xdr:rowOff>
    </xdr:from>
    <xdr:to>
      <xdr:col>11</xdr:col>
      <xdr:colOff>240366</xdr:colOff>
      <xdr:row>159</xdr:row>
      <xdr:rowOff>112619</xdr:rowOff>
    </xdr:to>
    <xdr:cxnSp macro="">
      <xdr:nvCxnSpPr>
        <xdr:cNvPr id="68" name="Gerade Verbindung 67"/>
        <xdr:cNvCxnSpPr/>
      </xdr:nvCxnSpPr>
      <xdr:spPr bwMode="auto">
        <a:xfrm>
          <a:off x="9036984" y="29205331"/>
          <a:ext cx="0" cy="1051112"/>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6</xdr:col>
      <xdr:colOff>361946</xdr:colOff>
      <xdr:row>153</xdr:row>
      <xdr:rowOff>19050</xdr:rowOff>
    </xdr:from>
    <xdr:to>
      <xdr:col>11</xdr:col>
      <xdr:colOff>218513</xdr:colOff>
      <xdr:row>156</xdr:row>
      <xdr:rowOff>85724</xdr:rowOff>
    </xdr:to>
    <xdr:sp macro="" textlink="">
      <xdr:nvSpPr>
        <xdr:cNvPr id="70" name="Rechtwinkliges Dreieck 69"/>
        <xdr:cNvSpPr/>
      </xdr:nvSpPr>
      <xdr:spPr bwMode="auto">
        <a:xfrm rot="10800000" flipV="1">
          <a:off x="6682064" y="29187962"/>
          <a:ext cx="2333067" cy="554130"/>
        </a:xfrm>
        <a:prstGeom prst="rtTriangle">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4</xdr:col>
      <xdr:colOff>302558</xdr:colOff>
      <xdr:row>153</xdr:row>
      <xdr:rowOff>19050</xdr:rowOff>
    </xdr:from>
    <xdr:to>
      <xdr:col>11</xdr:col>
      <xdr:colOff>218512</xdr:colOff>
      <xdr:row>160</xdr:row>
      <xdr:rowOff>3922</xdr:rowOff>
    </xdr:to>
    <xdr:grpSp>
      <xdr:nvGrpSpPr>
        <xdr:cNvPr id="80" name="Gruppieren 79"/>
        <xdr:cNvGrpSpPr/>
      </xdr:nvGrpSpPr>
      <xdr:grpSpPr>
        <a:xfrm>
          <a:off x="5612746" y="25593675"/>
          <a:ext cx="3594985" cy="1151685"/>
          <a:chOff x="5700163" y="29187962"/>
          <a:chExt cx="1381745" cy="1122269"/>
        </a:xfrm>
      </xdr:grpSpPr>
      <xdr:sp macro="" textlink="">
        <xdr:nvSpPr>
          <xdr:cNvPr id="69" name="Rechtwinkliges Dreieck 68"/>
          <xdr:cNvSpPr/>
        </xdr:nvSpPr>
        <xdr:spPr bwMode="auto">
          <a:xfrm rot="10800000">
            <a:off x="6133384" y="29770666"/>
            <a:ext cx="947612" cy="496979"/>
          </a:xfrm>
          <a:prstGeom prst="r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71" name="Ellipse 70"/>
          <xdr:cNvSpPr/>
        </xdr:nvSpPr>
        <xdr:spPr bwMode="auto">
          <a:xfrm>
            <a:off x="5952654" y="29229984"/>
            <a:ext cx="180975" cy="1080247"/>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xnSp macro="">
        <xdr:nvCxnSpPr>
          <xdr:cNvPr id="72" name="Gerade Verbindung 71"/>
          <xdr:cNvCxnSpPr>
            <a:stCxn id="70" idx="0"/>
          </xdr:cNvCxnSpPr>
        </xdr:nvCxnSpPr>
        <xdr:spPr bwMode="auto">
          <a:xfrm flipH="1">
            <a:off x="5711564" y="29187962"/>
            <a:ext cx="1370344" cy="8213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73" name="Gerade Verbindung 72"/>
          <xdr:cNvCxnSpPr>
            <a:stCxn id="69" idx="0"/>
          </xdr:cNvCxnSpPr>
        </xdr:nvCxnSpPr>
        <xdr:spPr bwMode="auto">
          <a:xfrm flipH="1" flipV="1">
            <a:off x="5700163" y="29538706"/>
            <a:ext cx="1380833" cy="72893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74" name="Gerade Verbindung 73"/>
          <xdr:cNvCxnSpPr/>
        </xdr:nvCxnSpPr>
        <xdr:spPr bwMode="auto">
          <a:xfrm flipV="1">
            <a:off x="5764866" y="29753298"/>
            <a:ext cx="1317042" cy="952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3</xdr:col>
      <xdr:colOff>306532</xdr:colOff>
      <xdr:row>17</xdr:row>
      <xdr:rowOff>58666</xdr:rowOff>
    </xdr:from>
    <xdr:to>
      <xdr:col>11</xdr:col>
      <xdr:colOff>881063</xdr:colOff>
      <xdr:row>39</xdr:row>
      <xdr:rowOff>35718</xdr:rowOff>
    </xdr:to>
    <xdr:grpSp>
      <xdr:nvGrpSpPr>
        <xdr:cNvPr id="87" name="Gruppieren 86"/>
        <xdr:cNvGrpSpPr/>
      </xdr:nvGrpSpPr>
      <xdr:grpSpPr>
        <a:xfrm>
          <a:off x="4854720" y="2939979"/>
          <a:ext cx="5015562" cy="3644177"/>
          <a:chOff x="5211907" y="631248"/>
          <a:chExt cx="4853420" cy="3862820"/>
        </a:xfrm>
      </xdr:grpSpPr>
      <xdr:grpSp>
        <xdr:nvGrpSpPr>
          <xdr:cNvPr id="5" name="Group 27"/>
          <xdr:cNvGrpSpPr>
            <a:grpSpLocks/>
          </xdr:cNvGrpSpPr>
        </xdr:nvGrpSpPr>
        <xdr:grpSpPr bwMode="auto">
          <a:xfrm>
            <a:off x="5211907" y="631248"/>
            <a:ext cx="4853420" cy="3862820"/>
            <a:chOff x="757" y="59"/>
            <a:chExt cx="510" cy="399"/>
          </a:xfrm>
        </xdr:grpSpPr>
        <xdr:grpSp>
          <xdr:nvGrpSpPr>
            <xdr:cNvPr id="6" name="Group 10"/>
            <xdr:cNvGrpSpPr>
              <a:grpSpLocks/>
            </xdr:cNvGrpSpPr>
          </xdr:nvGrpSpPr>
          <xdr:grpSpPr bwMode="auto">
            <a:xfrm>
              <a:off x="757" y="96"/>
              <a:ext cx="510" cy="362"/>
              <a:chOff x="411" y="96"/>
              <a:chExt cx="768" cy="544"/>
            </a:xfrm>
          </xdr:grpSpPr>
          <xdr:grpSp>
            <xdr:nvGrpSpPr>
              <xdr:cNvPr id="15" name="Group 6"/>
              <xdr:cNvGrpSpPr>
                <a:grpSpLocks/>
              </xdr:cNvGrpSpPr>
            </xdr:nvGrpSpPr>
            <xdr:grpSpPr bwMode="auto">
              <a:xfrm>
                <a:off x="629" y="108"/>
                <a:ext cx="550" cy="308"/>
                <a:chOff x="629" y="91"/>
                <a:chExt cx="550" cy="308"/>
              </a:xfrm>
            </xdr:grpSpPr>
            <xdr:sp macro="" textlink="">
              <xdr:nvSpPr>
                <xdr:cNvPr id="18" name="Rectangle 3"/>
                <xdr:cNvSpPr>
                  <a:spLocks noChangeArrowheads="1"/>
                </xdr:cNvSpPr>
              </xdr:nvSpPr>
              <xdr:spPr bwMode="auto">
                <a:xfrm rot="-2452646">
                  <a:off x="659" y="209"/>
                  <a:ext cx="432" cy="190"/>
                </a:xfrm>
                <a:prstGeom prst="rect">
                  <a:avLst/>
                </a:prstGeom>
                <a:solidFill>
                  <a:srgbClr val="FFCC99"/>
                </a:solidFill>
                <a:ln w="9525">
                  <a:solidFill>
                    <a:srgbClr val="000000"/>
                  </a:solidFill>
                  <a:miter lim="800000"/>
                  <a:headEnd/>
                  <a:tailEnd/>
                </a:ln>
              </xdr:spPr>
            </xdr:sp>
            <xdr:sp macro="" textlink="">
              <xdr:nvSpPr>
                <xdr:cNvPr id="19" name="Rectangle 2"/>
                <xdr:cNvSpPr>
                  <a:spLocks noChangeArrowheads="1"/>
                </xdr:cNvSpPr>
              </xdr:nvSpPr>
              <xdr:spPr bwMode="auto">
                <a:xfrm>
                  <a:off x="629" y="91"/>
                  <a:ext cx="350" cy="247"/>
                </a:xfrm>
                <a:prstGeom prst="rect">
                  <a:avLst/>
                </a:prstGeom>
                <a:solidFill>
                  <a:srgbClr val="CCFFFF">
                    <a:alpha val="50195"/>
                  </a:srgbClr>
                </a:solidFill>
                <a:ln w="9525">
                  <a:solidFill>
                    <a:srgbClr val="000000"/>
                  </a:solidFill>
                  <a:miter lim="800000"/>
                  <a:headEnd/>
                  <a:tailEnd/>
                </a:ln>
              </xdr:spPr>
            </xdr:sp>
            <xdr:sp macro="" textlink="">
              <xdr:nvSpPr>
                <xdr:cNvPr id="20" name="Rectangle 5"/>
                <xdr:cNvSpPr>
                  <a:spLocks noChangeArrowheads="1"/>
                </xdr:cNvSpPr>
              </xdr:nvSpPr>
              <xdr:spPr bwMode="auto">
                <a:xfrm>
                  <a:off x="983" y="91"/>
                  <a:ext cx="196" cy="24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Oval 1"/>
                <xdr:cNvSpPr>
                  <a:spLocks noChangeArrowheads="1"/>
                </xdr:cNvSpPr>
              </xdr:nvSpPr>
              <xdr:spPr bwMode="auto">
                <a:xfrm>
                  <a:off x="959" y="91"/>
                  <a:ext cx="38" cy="251"/>
                </a:xfrm>
                <a:prstGeom prst="ellipse">
                  <a:avLst/>
                </a:prstGeom>
                <a:solidFill>
                  <a:srgbClr val="FFFFFF"/>
                </a:solidFill>
                <a:ln w="9525">
                  <a:solidFill>
                    <a:srgbClr val="000000"/>
                  </a:solidFill>
                  <a:round/>
                  <a:headEnd/>
                  <a:tailEnd/>
                </a:ln>
              </xdr:spPr>
            </xdr:sp>
          </xdr:grpSp>
          <xdr:sp macro="" textlink="">
            <xdr:nvSpPr>
              <xdr:cNvPr id="16" name="Oval 7"/>
              <xdr:cNvSpPr>
                <a:spLocks noChangeArrowheads="1"/>
              </xdr:cNvSpPr>
            </xdr:nvSpPr>
            <xdr:spPr bwMode="auto">
              <a:xfrm>
                <a:off x="411" y="96"/>
                <a:ext cx="246" cy="246"/>
              </a:xfrm>
              <a:prstGeom prst="ellipse">
                <a:avLst/>
              </a:prstGeom>
              <a:solidFill>
                <a:srgbClr val="FFFFFF"/>
              </a:solidFill>
              <a:ln w="9525">
                <a:solidFill>
                  <a:srgbClr val="000000"/>
                </a:solidFill>
                <a:round/>
                <a:headEnd/>
                <a:tailEnd/>
              </a:ln>
            </xdr:spPr>
          </xdr:sp>
          <xdr:sp macro="" textlink="">
            <xdr:nvSpPr>
              <xdr:cNvPr id="17" name="Oval 8"/>
              <xdr:cNvSpPr>
                <a:spLocks noChangeArrowheads="1"/>
              </xdr:cNvSpPr>
            </xdr:nvSpPr>
            <xdr:spPr bwMode="auto">
              <a:xfrm rot="-2646573">
                <a:off x="490" y="453"/>
                <a:ext cx="246" cy="187"/>
              </a:xfrm>
              <a:prstGeom prst="ellipse">
                <a:avLst/>
              </a:prstGeom>
              <a:solidFill>
                <a:srgbClr val="FFFFFF"/>
              </a:solidFill>
              <a:ln w="9525">
                <a:solidFill>
                  <a:srgbClr val="000000"/>
                </a:solidFill>
                <a:round/>
                <a:headEnd/>
                <a:tailEnd/>
              </a:ln>
            </xdr:spPr>
          </xdr:sp>
        </xdr:grpSp>
        <xdr:grpSp>
          <xdr:nvGrpSpPr>
            <xdr:cNvPr id="7" name="Group 21"/>
            <xdr:cNvGrpSpPr>
              <a:grpSpLocks/>
            </xdr:cNvGrpSpPr>
          </xdr:nvGrpSpPr>
          <xdr:grpSpPr bwMode="auto">
            <a:xfrm>
              <a:off x="1042" y="106"/>
              <a:ext cx="90" cy="163"/>
              <a:chOff x="1042" y="106"/>
              <a:chExt cx="90" cy="163"/>
            </a:xfrm>
          </xdr:grpSpPr>
          <xdr:sp macro="" textlink="">
            <xdr:nvSpPr>
              <xdr:cNvPr id="13" name="Line 16"/>
              <xdr:cNvSpPr>
                <a:spLocks noChangeShapeType="1"/>
              </xdr:cNvSpPr>
            </xdr:nvSpPr>
            <xdr:spPr bwMode="auto">
              <a:xfrm flipH="1" flipV="1">
                <a:off x="1042" y="180"/>
                <a:ext cx="89" cy="89"/>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4" name="Line 18"/>
              <xdr:cNvSpPr>
                <a:spLocks noChangeShapeType="1"/>
              </xdr:cNvSpPr>
            </xdr:nvSpPr>
            <xdr:spPr bwMode="auto">
              <a:xfrm>
                <a:off x="1132" y="106"/>
                <a:ext cx="0" cy="163"/>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8" name="Text Box 19"/>
            <xdr:cNvSpPr txBox="1">
              <a:spLocks noChangeArrowheads="1"/>
            </xdr:cNvSpPr>
          </xdr:nvSpPr>
          <xdr:spPr bwMode="auto">
            <a:xfrm>
              <a:off x="1015" y="116"/>
              <a:ext cx="63" cy="2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25 Grad</a:t>
              </a:r>
            </a:p>
          </xdr:txBody>
        </xdr:sp>
        <xdr:sp macro="" textlink="">
          <xdr:nvSpPr>
            <xdr:cNvPr id="9" name="Text Box 20"/>
            <xdr:cNvSpPr txBox="1">
              <a:spLocks noChangeArrowheads="1"/>
            </xdr:cNvSpPr>
          </xdr:nvSpPr>
          <xdr:spPr bwMode="auto">
            <a:xfrm>
              <a:off x="1077" y="59"/>
              <a:ext cx="128"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90 Grad - 25 Grad</a:t>
              </a:r>
            </a:p>
          </xdr:txBody>
        </xdr:sp>
        <xdr:sp macro="" textlink="">
          <xdr:nvSpPr>
            <xdr:cNvPr id="10" name="Text Box 22"/>
            <xdr:cNvSpPr txBox="1">
              <a:spLocks noChangeArrowheads="1"/>
            </xdr:cNvSpPr>
          </xdr:nvSpPr>
          <xdr:spPr bwMode="auto">
            <a:xfrm>
              <a:off x="775" y="157"/>
              <a:ext cx="130" cy="46"/>
            </a:xfrm>
            <a:prstGeom prst="rect">
              <a:avLst/>
            </a:prstGeom>
            <a:noFill/>
            <a:ln w="9525">
              <a:noFill/>
              <a:miter lim="800000"/>
              <a:headEnd/>
              <a:tailEnd/>
            </a:ln>
          </xdr:spPr>
          <xdr:txBody>
            <a:bodyPr vertOverflow="clip" wrap="square" lIns="27432" tIns="22860" rIns="0" bIns="0" anchor="t" upright="1"/>
            <a:lstStyle/>
            <a:p>
              <a:pPr algn="l" rtl="0">
                <a:defRPr sz="1000"/>
              </a:pPr>
              <a:r>
                <a:rPr lang="de-DE" sz="900" b="0" i="0" strike="noStrike">
                  <a:solidFill>
                    <a:srgbClr val="000000"/>
                  </a:solidFill>
                  <a:latin typeface="Arial"/>
                  <a:cs typeface="Arial"/>
                </a:rPr>
                <a:t>Linsenfläche mit</a:t>
              </a:r>
            </a:p>
            <a:p>
              <a:pPr algn="l" rtl="0">
                <a:defRPr sz="1000"/>
              </a:pPr>
              <a:r>
                <a:rPr lang="de-DE" sz="900" b="0" i="0" strike="noStrike">
                  <a:solidFill>
                    <a:srgbClr val="000000"/>
                  </a:solidFill>
                  <a:latin typeface="Arial"/>
                  <a:cs typeface="Arial"/>
                </a:rPr>
                <a:t>frontalem Lichteinfall</a:t>
              </a:r>
            </a:p>
          </xdr:txBody>
        </xdr:sp>
        <xdr:sp macro="" textlink="">
          <xdr:nvSpPr>
            <xdr:cNvPr id="11" name="Text Box 23"/>
            <xdr:cNvSpPr txBox="1">
              <a:spLocks noChangeArrowheads="1"/>
            </xdr:cNvSpPr>
          </xdr:nvSpPr>
          <xdr:spPr bwMode="auto">
            <a:xfrm>
              <a:off x="831" y="383"/>
              <a:ext cx="134" cy="3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900" b="0" i="0" strike="noStrike">
                  <a:solidFill>
                    <a:srgbClr val="000000"/>
                  </a:solidFill>
                  <a:latin typeface="Arial"/>
                  <a:cs typeface="Arial"/>
                </a:rPr>
                <a:t>Linsenfläche mit</a:t>
              </a:r>
            </a:p>
            <a:p>
              <a:pPr algn="l" rtl="0">
                <a:defRPr sz="1000"/>
              </a:pPr>
              <a:r>
                <a:rPr lang="de-DE" sz="900" b="0" i="0" strike="noStrike">
                  <a:solidFill>
                    <a:srgbClr val="000000"/>
                  </a:solidFill>
                  <a:latin typeface="Arial"/>
                  <a:cs typeface="Arial"/>
                </a:rPr>
                <a:t>seitlichem Lichteinfall</a:t>
              </a:r>
            </a:p>
          </xdr:txBody>
        </xdr:sp>
        <xdr:sp macro="" textlink="">
          <xdr:nvSpPr>
            <xdr:cNvPr id="12" name="Line 26"/>
            <xdr:cNvSpPr>
              <a:spLocks noChangeShapeType="1"/>
            </xdr:cNvSpPr>
          </xdr:nvSpPr>
          <xdr:spPr bwMode="auto">
            <a:xfrm flipH="1">
              <a:off x="1099" y="79"/>
              <a:ext cx="15" cy="8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86" name="Text Box 19"/>
          <xdr:cNvSpPr txBox="1">
            <a:spLocks noChangeArrowheads="1"/>
          </xdr:cNvSpPr>
        </xdr:nvSpPr>
        <xdr:spPr bwMode="auto">
          <a:xfrm>
            <a:off x="8122227" y="2130135"/>
            <a:ext cx="275166" cy="291523"/>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x</a:t>
            </a:r>
          </a:p>
        </xdr:txBody>
      </xdr:sp>
    </xdr:grpSp>
    <xdr:clientData/>
  </xdr:twoCellAnchor>
  <xdr:twoCellAnchor>
    <xdr:from>
      <xdr:col>12</xdr:col>
      <xdr:colOff>147205</xdr:colOff>
      <xdr:row>105</xdr:row>
      <xdr:rowOff>147205</xdr:rowOff>
    </xdr:from>
    <xdr:to>
      <xdr:col>18</xdr:col>
      <xdr:colOff>194829</xdr:colOff>
      <xdr:row>129</xdr:row>
      <xdr:rowOff>35502</xdr:rowOff>
    </xdr:to>
    <xdr:grpSp>
      <xdr:nvGrpSpPr>
        <xdr:cNvPr id="88" name="Gruppieren 87"/>
        <xdr:cNvGrpSpPr/>
      </xdr:nvGrpSpPr>
      <xdr:grpSpPr>
        <a:xfrm>
          <a:off x="11470049" y="17697018"/>
          <a:ext cx="6262686" cy="3912609"/>
          <a:chOff x="5211907" y="631248"/>
          <a:chExt cx="4853420" cy="3862820"/>
        </a:xfrm>
      </xdr:grpSpPr>
      <xdr:grpSp>
        <xdr:nvGrpSpPr>
          <xdr:cNvPr id="89" name="Group 27"/>
          <xdr:cNvGrpSpPr>
            <a:grpSpLocks/>
          </xdr:cNvGrpSpPr>
        </xdr:nvGrpSpPr>
        <xdr:grpSpPr bwMode="auto">
          <a:xfrm>
            <a:off x="5211907" y="631248"/>
            <a:ext cx="4853420" cy="3862820"/>
            <a:chOff x="757" y="59"/>
            <a:chExt cx="510" cy="399"/>
          </a:xfrm>
        </xdr:grpSpPr>
        <xdr:grpSp>
          <xdr:nvGrpSpPr>
            <xdr:cNvPr id="91" name="Group 10"/>
            <xdr:cNvGrpSpPr>
              <a:grpSpLocks/>
            </xdr:cNvGrpSpPr>
          </xdr:nvGrpSpPr>
          <xdr:grpSpPr bwMode="auto">
            <a:xfrm>
              <a:off x="757" y="96"/>
              <a:ext cx="510" cy="362"/>
              <a:chOff x="411" y="96"/>
              <a:chExt cx="768" cy="544"/>
            </a:xfrm>
          </xdr:grpSpPr>
          <xdr:grpSp>
            <xdr:nvGrpSpPr>
              <xdr:cNvPr id="100" name="Group 6"/>
              <xdr:cNvGrpSpPr>
                <a:grpSpLocks/>
              </xdr:cNvGrpSpPr>
            </xdr:nvGrpSpPr>
            <xdr:grpSpPr bwMode="auto">
              <a:xfrm>
                <a:off x="629" y="108"/>
                <a:ext cx="550" cy="308"/>
                <a:chOff x="629" y="91"/>
                <a:chExt cx="550" cy="308"/>
              </a:xfrm>
            </xdr:grpSpPr>
            <xdr:sp macro="" textlink="">
              <xdr:nvSpPr>
                <xdr:cNvPr id="103" name="Rectangle 3"/>
                <xdr:cNvSpPr>
                  <a:spLocks noChangeArrowheads="1"/>
                </xdr:cNvSpPr>
              </xdr:nvSpPr>
              <xdr:spPr bwMode="auto">
                <a:xfrm rot="-2452646">
                  <a:off x="659" y="209"/>
                  <a:ext cx="432" cy="190"/>
                </a:xfrm>
                <a:prstGeom prst="rect">
                  <a:avLst/>
                </a:prstGeom>
                <a:solidFill>
                  <a:srgbClr val="FFCC99"/>
                </a:solidFill>
                <a:ln w="9525">
                  <a:solidFill>
                    <a:srgbClr val="000000"/>
                  </a:solidFill>
                  <a:miter lim="800000"/>
                  <a:headEnd/>
                  <a:tailEnd/>
                </a:ln>
              </xdr:spPr>
            </xdr:sp>
            <xdr:sp macro="" textlink="">
              <xdr:nvSpPr>
                <xdr:cNvPr id="104" name="Rectangle 2"/>
                <xdr:cNvSpPr>
                  <a:spLocks noChangeArrowheads="1"/>
                </xdr:cNvSpPr>
              </xdr:nvSpPr>
              <xdr:spPr bwMode="auto">
                <a:xfrm>
                  <a:off x="629" y="91"/>
                  <a:ext cx="350" cy="247"/>
                </a:xfrm>
                <a:prstGeom prst="rect">
                  <a:avLst/>
                </a:prstGeom>
                <a:solidFill>
                  <a:srgbClr val="CCFFFF">
                    <a:alpha val="50195"/>
                  </a:srgbClr>
                </a:solidFill>
                <a:ln w="9525">
                  <a:solidFill>
                    <a:srgbClr val="000000"/>
                  </a:solidFill>
                  <a:miter lim="800000"/>
                  <a:headEnd/>
                  <a:tailEnd/>
                </a:ln>
              </xdr:spPr>
            </xdr:sp>
            <xdr:sp macro="" textlink="">
              <xdr:nvSpPr>
                <xdr:cNvPr id="105" name="Rectangle 5"/>
                <xdr:cNvSpPr>
                  <a:spLocks noChangeArrowheads="1"/>
                </xdr:cNvSpPr>
              </xdr:nvSpPr>
              <xdr:spPr bwMode="auto">
                <a:xfrm>
                  <a:off x="983" y="91"/>
                  <a:ext cx="196" cy="24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Oval 1"/>
                <xdr:cNvSpPr>
                  <a:spLocks noChangeArrowheads="1"/>
                </xdr:cNvSpPr>
              </xdr:nvSpPr>
              <xdr:spPr bwMode="auto">
                <a:xfrm>
                  <a:off x="959" y="91"/>
                  <a:ext cx="38" cy="251"/>
                </a:xfrm>
                <a:prstGeom prst="ellipse">
                  <a:avLst/>
                </a:prstGeom>
                <a:solidFill>
                  <a:srgbClr val="FFFFFF"/>
                </a:solidFill>
                <a:ln w="9525">
                  <a:solidFill>
                    <a:srgbClr val="000000"/>
                  </a:solidFill>
                  <a:round/>
                  <a:headEnd/>
                  <a:tailEnd/>
                </a:ln>
              </xdr:spPr>
            </xdr:sp>
          </xdr:grpSp>
          <xdr:sp macro="" textlink="">
            <xdr:nvSpPr>
              <xdr:cNvPr id="101" name="Oval 7"/>
              <xdr:cNvSpPr>
                <a:spLocks noChangeArrowheads="1"/>
              </xdr:cNvSpPr>
            </xdr:nvSpPr>
            <xdr:spPr bwMode="auto">
              <a:xfrm>
                <a:off x="411" y="96"/>
                <a:ext cx="246" cy="246"/>
              </a:xfrm>
              <a:prstGeom prst="ellipse">
                <a:avLst/>
              </a:prstGeom>
              <a:solidFill>
                <a:srgbClr val="FFFFFF"/>
              </a:solidFill>
              <a:ln w="9525">
                <a:solidFill>
                  <a:srgbClr val="000000"/>
                </a:solidFill>
                <a:round/>
                <a:headEnd/>
                <a:tailEnd/>
              </a:ln>
            </xdr:spPr>
          </xdr:sp>
          <xdr:sp macro="" textlink="">
            <xdr:nvSpPr>
              <xdr:cNvPr id="102" name="Oval 8"/>
              <xdr:cNvSpPr>
                <a:spLocks noChangeArrowheads="1"/>
              </xdr:cNvSpPr>
            </xdr:nvSpPr>
            <xdr:spPr bwMode="auto">
              <a:xfrm rot="-2646573">
                <a:off x="490" y="453"/>
                <a:ext cx="246" cy="187"/>
              </a:xfrm>
              <a:prstGeom prst="ellipse">
                <a:avLst/>
              </a:prstGeom>
              <a:solidFill>
                <a:srgbClr val="FFFFFF"/>
              </a:solidFill>
              <a:ln w="9525">
                <a:solidFill>
                  <a:srgbClr val="000000"/>
                </a:solidFill>
                <a:round/>
                <a:headEnd/>
                <a:tailEnd/>
              </a:ln>
            </xdr:spPr>
          </xdr:sp>
        </xdr:grpSp>
        <xdr:grpSp>
          <xdr:nvGrpSpPr>
            <xdr:cNvPr id="92" name="Group 21"/>
            <xdr:cNvGrpSpPr>
              <a:grpSpLocks/>
            </xdr:cNvGrpSpPr>
          </xdr:nvGrpSpPr>
          <xdr:grpSpPr bwMode="auto">
            <a:xfrm>
              <a:off x="1042" y="106"/>
              <a:ext cx="90" cy="163"/>
              <a:chOff x="1042" y="106"/>
              <a:chExt cx="90" cy="163"/>
            </a:xfrm>
          </xdr:grpSpPr>
          <xdr:sp macro="" textlink="">
            <xdr:nvSpPr>
              <xdr:cNvPr id="98" name="Line 16"/>
              <xdr:cNvSpPr>
                <a:spLocks noChangeShapeType="1"/>
              </xdr:cNvSpPr>
            </xdr:nvSpPr>
            <xdr:spPr bwMode="auto">
              <a:xfrm flipH="1" flipV="1">
                <a:off x="1042" y="180"/>
                <a:ext cx="89" cy="89"/>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99" name="Line 18"/>
              <xdr:cNvSpPr>
                <a:spLocks noChangeShapeType="1"/>
              </xdr:cNvSpPr>
            </xdr:nvSpPr>
            <xdr:spPr bwMode="auto">
              <a:xfrm>
                <a:off x="1132" y="106"/>
                <a:ext cx="0" cy="163"/>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93" name="Text Box 19"/>
            <xdr:cNvSpPr txBox="1">
              <a:spLocks noChangeArrowheads="1"/>
            </xdr:cNvSpPr>
          </xdr:nvSpPr>
          <xdr:spPr bwMode="auto">
            <a:xfrm>
              <a:off x="1015" y="116"/>
              <a:ext cx="63" cy="2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25 Grad</a:t>
              </a:r>
            </a:p>
          </xdr:txBody>
        </xdr:sp>
        <xdr:sp macro="" textlink="">
          <xdr:nvSpPr>
            <xdr:cNvPr id="94" name="Text Box 20"/>
            <xdr:cNvSpPr txBox="1">
              <a:spLocks noChangeArrowheads="1"/>
            </xdr:cNvSpPr>
          </xdr:nvSpPr>
          <xdr:spPr bwMode="auto">
            <a:xfrm>
              <a:off x="1077" y="59"/>
              <a:ext cx="128"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90 Grad - 25 Grad</a:t>
              </a:r>
            </a:p>
          </xdr:txBody>
        </xdr:sp>
        <xdr:sp macro="" textlink="">
          <xdr:nvSpPr>
            <xdr:cNvPr id="95" name="Text Box 22"/>
            <xdr:cNvSpPr txBox="1">
              <a:spLocks noChangeArrowheads="1"/>
            </xdr:cNvSpPr>
          </xdr:nvSpPr>
          <xdr:spPr bwMode="auto">
            <a:xfrm>
              <a:off x="775" y="157"/>
              <a:ext cx="130" cy="46"/>
            </a:xfrm>
            <a:prstGeom prst="rect">
              <a:avLst/>
            </a:prstGeom>
            <a:noFill/>
            <a:ln w="9525">
              <a:noFill/>
              <a:miter lim="800000"/>
              <a:headEnd/>
              <a:tailEnd/>
            </a:ln>
          </xdr:spPr>
          <xdr:txBody>
            <a:bodyPr vertOverflow="clip" wrap="square" lIns="27432" tIns="22860" rIns="0" bIns="0" anchor="t" upright="1"/>
            <a:lstStyle/>
            <a:p>
              <a:pPr algn="l" rtl="0">
                <a:defRPr sz="1000"/>
              </a:pPr>
              <a:r>
                <a:rPr lang="de-DE" sz="900" b="0" i="0" strike="noStrike">
                  <a:solidFill>
                    <a:srgbClr val="000000"/>
                  </a:solidFill>
                  <a:latin typeface="Arial"/>
                  <a:cs typeface="Arial"/>
                </a:rPr>
                <a:t>Linsenfläche mit</a:t>
              </a:r>
            </a:p>
            <a:p>
              <a:pPr algn="l" rtl="0">
                <a:defRPr sz="1000"/>
              </a:pPr>
              <a:r>
                <a:rPr lang="de-DE" sz="900" b="0" i="0" strike="noStrike">
                  <a:solidFill>
                    <a:srgbClr val="000000"/>
                  </a:solidFill>
                  <a:latin typeface="Arial"/>
                  <a:cs typeface="Arial"/>
                </a:rPr>
                <a:t>frontalem Lichteinfall</a:t>
              </a:r>
            </a:p>
          </xdr:txBody>
        </xdr:sp>
        <xdr:sp macro="" textlink="">
          <xdr:nvSpPr>
            <xdr:cNvPr id="96" name="Text Box 23"/>
            <xdr:cNvSpPr txBox="1">
              <a:spLocks noChangeArrowheads="1"/>
            </xdr:cNvSpPr>
          </xdr:nvSpPr>
          <xdr:spPr bwMode="auto">
            <a:xfrm>
              <a:off x="831" y="383"/>
              <a:ext cx="134" cy="39"/>
            </a:xfrm>
            <a:prstGeom prst="rect">
              <a:avLst/>
            </a:prstGeom>
            <a:noFill/>
            <a:ln w="9525">
              <a:noFill/>
              <a:miter lim="800000"/>
              <a:headEnd/>
              <a:tailEnd/>
            </a:ln>
          </xdr:spPr>
          <xdr:txBody>
            <a:bodyPr vertOverflow="clip" wrap="square" lIns="27432" tIns="22860" rIns="0" bIns="0" anchor="t" upright="1"/>
            <a:lstStyle/>
            <a:p>
              <a:pPr algn="l" rtl="0">
                <a:defRPr sz="1000"/>
              </a:pPr>
              <a:r>
                <a:rPr lang="de-DE" sz="900" b="0" i="0" strike="noStrike">
                  <a:solidFill>
                    <a:srgbClr val="000000"/>
                  </a:solidFill>
                  <a:latin typeface="Arial"/>
                  <a:cs typeface="Arial"/>
                </a:rPr>
                <a:t>Linsenfläche mit</a:t>
              </a:r>
            </a:p>
            <a:p>
              <a:pPr algn="l" rtl="0">
                <a:defRPr sz="1000"/>
              </a:pPr>
              <a:r>
                <a:rPr lang="de-DE" sz="900" b="0" i="0" strike="noStrike">
                  <a:solidFill>
                    <a:srgbClr val="000000"/>
                  </a:solidFill>
                  <a:latin typeface="Arial"/>
                  <a:cs typeface="Arial"/>
                </a:rPr>
                <a:t>seitlichem Lichteinfall</a:t>
              </a:r>
            </a:p>
          </xdr:txBody>
        </xdr:sp>
        <xdr:sp macro="" textlink="">
          <xdr:nvSpPr>
            <xdr:cNvPr id="97" name="Line 26"/>
            <xdr:cNvSpPr>
              <a:spLocks noChangeShapeType="1"/>
            </xdr:cNvSpPr>
          </xdr:nvSpPr>
          <xdr:spPr bwMode="auto">
            <a:xfrm flipH="1">
              <a:off x="1099" y="79"/>
              <a:ext cx="15" cy="8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90" name="Text Box 19"/>
          <xdr:cNvSpPr txBox="1">
            <a:spLocks noChangeArrowheads="1"/>
          </xdr:cNvSpPr>
        </xdr:nvSpPr>
        <xdr:spPr bwMode="auto">
          <a:xfrm>
            <a:off x="8122227" y="2130135"/>
            <a:ext cx="275166" cy="291523"/>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x</a:t>
            </a:r>
          </a:p>
        </xdr:txBody>
      </xdr:sp>
    </xdr:grpSp>
    <xdr:clientData/>
  </xdr:twoCellAnchor>
  <xdr:twoCellAnchor>
    <xdr:from>
      <xdr:col>0</xdr:col>
      <xdr:colOff>575830</xdr:colOff>
      <xdr:row>19</xdr:row>
      <xdr:rowOff>37883</xdr:rowOff>
    </xdr:from>
    <xdr:to>
      <xdr:col>3</xdr:col>
      <xdr:colOff>101411</xdr:colOff>
      <xdr:row>40</xdr:row>
      <xdr:rowOff>59865</xdr:rowOff>
    </xdr:to>
    <xdr:sp macro="" textlink="">
      <xdr:nvSpPr>
        <xdr:cNvPr id="107" name="Textfeld 106"/>
        <xdr:cNvSpPr txBox="1"/>
      </xdr:nvSpPr>
      <xdr:spPr>
        <a:xfrm>
          <a:off x="575830" y="3252571"/>
          <a:ext cx="4073769" cy="3522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Licht</a:t>
          </a:r>
          <a:r>
            <a:rPr lang="de-DE" sz="1100" baseline="0"/>
            <a:t> frontal einfällt, ist die Frontlinse eine Kreisfläche, wenn Licht schräg einfällt, ist die Frontlinse eine gestauchte Kreisfläche, also eine Ellipse. Die Lichtintensität, die das Filmmaterial oder den Chip erreicht, ist proportional zu Kreis- und Ellipsenfläche.</a:t>
          </a:r>
        </a:p>
        <a:p>
          <a:endParaRPr lang="de-DE" sz="1100"/>
        </a:p>
        <a:p>
          <a:r>
            <a:rPr lang="de-DE" sz="1100"/>
            <a:t>Die Ellipsenfläche kann man berechnen, wenn man das Ausmaß der Kreisstauchung kennt. Je schräger</a:t>
          </a:r>
          <a:r>
            <a:rPr lang="de-DE" sz="1100" baseline="0"/>
            <a:t> das Licht einfällt, umso stärker die Stauchung.</a:t>
          </a:r>
        </a:p>
        <a:p>
          <a:endParaRPr lang="de-DE" sz="1100" baseline="0"/>
        </a:p>
        <a:p>
          <a:r>
            <a:rPr lang="de-DE" sz="1100" baseline="0"/>
            <a:t>Man zeichnet ein rechtwinkliges Dreieck, dessen Hypothenuse auf der Hauptebene der Linse liegt und die die Länge des Linsendurchmessers besitzt. In diesem rechtwinkligen Dreieck ist ein Winkel bekannt (90°) und ein weiterer ist berechenbar (90° - Einfallswinkel).</a:t>
          </a:r>
        </a:p>
        <a:p>
          <a:endParaRPr lang="de-DE" sz="1100" baseline="0"/>
        </a:p>
        <a:p>
          <a:r>
            <a:rPr lang="de-DE" sz="1100"/>
            <a:t>Die Ellipsenhöhe</a:t>
          </a:r>
          <a:r>
            <a:rPr lang="de-DE" sz="1100" baseline="0"/>
            <a:t> entspricht der Gegenkathete im rechtwinkligen Dreieck. Mit der Sinusfunktion kann man die Streckenlänge berechnen.</a:t>
          </a:r>
        </a:p>
        <a:p>
          <a:r>
            <a:rPr lang="de-DE" sz="1100" baseline="0"/>
            <a:t>Sinus(90° - Einfallswinkel) =  Ellipsenhöhe / Linsendurchmesser</a:t>
          </a:r>
          <a:endParaRPr lang="de-DE" sz="1100"/>
        </a:p>
      </xdr:txBody>
    </xdr:sp>
    <xdr:clientData/>
  </xdr:twoCellAnchor>
  <xdr:twoCellAnchor>
    <xdr:from>
      <xdr:col>1</xdr:col>
      <xdr:colOff>314325</xdr:colOff>
      <xdr:row>186</xdr:row>
      <xdr:rowOff>152400</xdr:rowOff>
    </xdr:from>
    <xdr:to>
      <xdr:col>5</xdr:col>
      <xdr:colOff>323850</xdr:colOff>
      <xdr:row>197</xdr:row>
      <xdr:rowOff>85725</xdr:rowOff>
    </xdr:to>
    <xdr:cxnSp macro="">
      <xdr:nvCxnSpPr>
        <xdr:cNvPr id="108" name="Gerade Verbindung 20"/>
        <xdr:cNvCxnSpPr>
          <a:cxnSpLocks noChangeShapeType="1"/>
        </xdr:cNvCxnSpPr>
      </xdr:nvCxnSpPr>
      <xdr:spPr bwMode="auto">
        <a:xfrm flipV="1">
          <a:off x="1076325" y="20554950"/>
          <a:ext cx="4305300" cy="17145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400050</xdr:colOff>
      <xdr:row>187</xdr:row>
      <xdr:rowOff>28575</xdr:rowOff>
    </xdr:from>
    <xdr:to>
      <xdr:col>5</xdr:col>
      <xdr:colOff>361950</xdr:colOff>
      <xdr:row>196</xdr:row>
      <xdr:rowOff>95250</xdr:rowOff>
    </xdr:to>
    <xdr:cxnSp macro="">
      <xdr:nvCxnSpPr>
        <xdr:cNvPr id="109" name="Gerade Verbindung 22"/>
        <xdr:cNvCxnSpPr>
          <a:cxnSpLocks noChangeShapeType="1"/>
        </xdr:cNvCxnSpPr>
      </xdr:nvCxnSpPr>
      <xdr:spPr bwMode="auto">
        <a:xfrm>
          <a:off x="1162050" y="20593050"/>
          <a:ext cx="4257675" cy="15240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191</xdr:row>
      <xdr:rowOff>161925</xdr:rowOff>
    </xdr:from>
    <xdr:to>
      <xdr:col>5</xdr:col>
      <xdr:colOff>352425</xdr:colOff>
      <xdr:row>191</xdr:row>
      <xdr:rowOff>161925</xdr:rowOff>
    </xdr:to>
    <xdr:cxnSp macro="">
      <xdr:nvCxnSpPr>
        <xdr:cNvPr id="110" name="Gerade Verbindung 26"/>
        <xdr:cNvCxnSpPr>
          <a:cxnSpLocks noChangeShapeType="1"/>
        </xdr:cNvCxnSpPr>
      </xdr:nvCxnSpPr>
      <xdr:spPr bwMode="auto">
        <a:xfrm>
          <a:off x="1066800" y="21374100"/>
          <a:ext cx="4343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373062</xdr:colOff>
      <xdr:row>186</xdr:row>
      <xdr:rowOff>134938</xdr:rowOff>
    </xdr:from>
    <xdr:to>
      <xdr:col>5</xdr:col>
      <xdr:colOff>373062</xdr:colOff>
      <xdr:row>196</xdr:row>
      <xdr:rowOff>79375</xdr:rowOff>
    </xdr:to>
    <xdr:cxnSp macro="">
      <xdr:nvCxnSpPr>
        <xdr:cNvPr id="111" name="Gerade Verbindung 110"/>
        <xdr:cNvCxnSpPr/>
      </xdr:nvCxnSpPr>
      <xdr:spPr bwMode="auto">
        <a:xfrm>
          <a:off x="5430837" y="20537488"/>
          <a:ext cx="0" cy="1563687"/>
        </a:xfrm>
        <a:prstGeom prst="line">
          <a:avLst/>
        </a:prstGeom>
        <a:ln>
          <a:headEnd type="none" w="med" len="med"/>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476250</xdr:colOff>
      <xdr:row>187</xdr:row>
      <xdr:rowOff>66675</xdr:rowOff>
    </xdr:from>
    <xdr:to>
      <xdr:col>2</xdr:col>
      <xdr:colOff>476250</xdr:colOff>
      <xdr:row>197</xdr:row>
      <xdr:rowOff>104775</xdr:rowOff>
    </xdr:to>
    <xdr:cxnSp macro="">
      <xdr:nvCxnSpPr>
        <xdr:cNvPr id="112" name="Gerade Verbindung 3979137"/>
        <xdr:cNvCxnSpPr>
          <a:cxnSpLocks noChangeShapeType="1"/>
        </xdr:cNvCxnSpPr>
      </xdr:nvCxnSpPr>
      <xdr:spPr bwMode="auto">
        <a:xfrm>
          <a:off x="3333750" y="20631150"/>
          <a:ext cx="0" cy="1657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186</xdr:row>
      <xdr:rowOff>152400</xdr:rowOff>
    </xdr:from>
    <xdr:to>
      <xdr:col>5</xdr:col>
      <xdr:colOff>371475</xdr:colOff>
      <xdr:row>186</xdr:row>
      <xdr:rowOff>152400</xdr:rowOff>
    </xdr:to>
    <xdr:cxnSp macro="">
      <xdr:nvCxnSpPr>
        <xdr:cNvPr id="113" name="Gerade Verbindung 3979139"/>
        <xdr:cNvCxnSpPr>
          <a:cxnSpLocks noChangeShapeType="1"/>
        </xdr:cNvCxnSpPr>
      </xdr:nvCxnSpPr>
      <xdr:spPr bwMode="auto">
        <a:xfrm>
          <a:off x="4333875" y="20554950"/>
          <a:ext cx="10953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1484313</xdr:colOff>
      <xdr:row>191</xdr:row>
      <xdr:rowOff>150813</xdr:rowOff>
    </xdr:from>
    <xdr:to>
      <xdr:col>2</xdr:col>
      <xdr:colOff>182348</xdr:colOff>
      <xdr:row>194</xdr:row>
      <xdr:rowOff>27918</xdr:rowOff>
    </xdr:to>
    <xdr:sp macro="" textlink="">
      <xdr:nvSpPr>
        <xdr:cNvPr id="114" name="Textfeld 113"/>
        <xdr:cNvSpPr txBox="1"/>
      </xdr:nvSpPr>
      <xdr:spPr>
        <a:xfrm>
          <a:off x="2246313" y="21362988"/>
          <a:ext cx="793535" cy="36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Einfallswinkel</a:t>
          </a:r>
        </a:p>
      </xdr:txBody>
    </xdr:sp>
    <xdr:clientData/>
  </xdr:twoCellAnchor>
  <xdr:twoCellAnchor>
    <xdr:from>
      <xdr:col>3</xdr:col>
      <xdr:colOff>467591</xdr:colOff>
      <xdr:row>186</xdr:row>
      <xdr:rowOff>152400</xdr:rowOff>
    </xdr:from>
    <xdr:to>
      <xdr:col>5</xdr:col>
      <xdr:colOff>78</xdr:colOff>
      <xdr:row>189</xdr:row>
      <xdr:rowOff>29505</xdr:rowOff>
    </xdr:to>
    <xdr:sp macro="" textlink="">
      <xdr:nvSpPr>
        <xdr:cNvPr id="115" name="Textfeld 114"/>
        <xdr:cNvSpPr txBox="1"/>
      </xdr:nvSpPr>
      <xdr:spPr>
        <a:xfrm>
          <a:off x="5022273" y="35109150"/>
          <a:ext cx="900623" cy="37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Einfallswinkel</a:t>
          </a:r>
        </a:p>
      </xdr:txBody>
    </xdr:sp>
    <xdr:clientData/>
  </xdr:twoCellAnchor>
  <xdr:twoCellAnchor>
    <xdr:from>
      <xdr:col>1</xdr:col>
      <xdr:colOff>1666875</xdr:colOff>
      <xdr:row>199</xdr:row>
      <xdr:rowOff>76200</xdr:rowOff>
    </xdr:from>
    <xdr:to>
      <xdr:col>4</xdr:col>
      <xdr:colOff>238125</xdr:colOff>
      <xdr:row>219</xdr:row>
      <xdr:rowOff>142875</xdr:rowOff>
    </xdr:to>
    <xdr:grpSp>
      <xdr:nvGrpSpPr>
        <xdr:cNvPr id="116" name="Gruppieren 3979153"/>
        <xdr:cNvGrpSpPr>
          <a:grpSpLocks/>
        </xdr:cNvGrpSpPr>
      </xdr:nvGrpSpPr>
      <xdr:grpSpPr bwMode="auto">
        <a:xfrm>
          <a:off x="2428875" y="33318450"/>
          <a:ext cx="3119438" cy="3400425"/>
          <a:chOff x="2425700" y="22139275"/>
          <a:chExt cx="2109573" cy="3245784"/>
        </a:xfrm>
      </xdr:grpSpPr>
      <xdr:sp macro="" textlink="">
        <xdr:nvSpPr>
          <xdr:cNvPr id="117" name="Rechteck 3979140"/>
          <xdr:cNvSpPr>
            <a:spLocks noChangeArrowheads="1"/>
          </xdr:cNvSpPr>
        </xdr:nvSpPr>
        <xdr:spPr bwMode="auto">
          <a:xfrm>
            <a:off x="2484438" y="22352000"/>
            <a:ext cx="1222375" cy="730250"/>
          </a:xfrm>
          <a:prstGeom prst="rect">
            <a:avLst/>
          </a:prstGeom>
          <a:solidFill>
            <a:srgbClr val="DBEEF4"/>
          </a:solidFill>
          <a:ln w="9525" algn="ctr">
            <a:solidFill>
              <a:srgbClr val="000000"/>
            </a:solidFill>
            <a:round/>
            <a:headEnd/>
            <a:tailEnd/>
          </a:ln>
        </xdr:spPr>
      </xdr:sp>
      <xdr:sp macro="" textlink="">
        <xdr:nvSpPr>
          <xdr:cNvPr id="118" name="Textfeld 117"/>
          <xdr:cNvSpPr txBox="1"/>
        </xdr:nvSpPr>
        <xdr:spPr>
          <a:xfrm>
            <a:off x="2797978" y="22139275"/>
            <a:ext cx="792283" cy="355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36 mm</a:t>
            </a:r>
          </a:p>
        </xdr:txBody>
      </xdr:sp>
      <xdr:sp macro="" textlink="">
        <xdr:nvSpPr>
          <xdr:cNvPr id="119" name="Textfeld 118"/>
          <xdr:cNvSpPr txBox="1"/>
        </xdr:nvSpPr>
        <xdr:spPr>
          <a:xfrm>
            <a:off x="3742990" y="22560198"/>
            <a:ext cx="792283" cy="355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24 mm</a:t>
            </a:r>
          </a:p>
        </xdr:txBody>
      </xdr:sp>
      <xdr:cxnSp macro="">
        <xdr:nvCxnSpPr>
          <xdr:cNvPr id="120" name="Gerade Verbindung 3979142"/>
          <xdr:cNvCxnSpPr>
            <a:cxnSpLocks noChangeShapeType="1"/>
          </xdr:cNvCxnSpPr>
        </xdr:nvCxnSpPr>
        <xdr:spPr bwMode="auto">
          <a:xfrm flipV="1">
            <a:off x="2492375" y="22359938"/>
            <a:ext cx="1206500" cy="72231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1" name="Gerade Verbindung 3979144"/>
          <xdr:cNvCxnSpPr>
            <a:cxnSpLocks noChangeShapeType="1"/>
          </xdr:cNvCxnSpPr>
        </xdr:nvCxnSpPr>
        <xdr:spPr bwMode="auto">
          <a:xfrm>
            <a:off x="2524125" y="23082250"/>
            <a:ext cx="1055688" cy="16351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2" name="Gerade Verbindung 80"/>
          <xdr:cNvCxnSpPr>
            <a:cxnSpLocks noChangeShapeType="1"/>
          </xdr:cNvCxnSpPr>
        </xdr:nvCxnSpPr>
        <xdr:spPr bwMode="auto">
          <a:xfrm flipH="1">
            <a:off x="2468563" y="22352000"/>
            <a:ext cx="1254126" cy="23495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3" name="Gerade Verbindung 3979151"/>
          <xdr:cNvCxnSpPr>
            <a:cxnSpLocks noChangeShapeType="1"/>
          </xdr:cNvCxnSpPr>
        </xdr:nvCxnSpPr>
        <xdr:spPr bwMode="auto">
          <a:xfrm flipV="1">
            <a:off x="2794000" y="22725063"/>
            <a:ext cx="309563" cy="2357437"/>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24" name="Textfeld 123"/>
          <xdr:cNvSpPr txBox="1"/>
        </xdr:nvSpPr>
        <xdr:spPr>
          <a:xfrm>
            <a:off x="2425700" y="25029613"/>
            <a:ext cx="1021377" cy="355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Optische Achse</a:t>
            </a:r>
          </a:p>
        </xdr:txBody>
      </xdr:sp>
    </xdr:grpSp>
    <xdr:clientData/>
  </xdr:twoCellAnchor>
  <xdr:twoCellAnchor>
    <xdr:from>
      <xdr:col>1</xdr:col>
      <xdr:colOff>1543050</xdr:colOff>
      <xdr:row>209</xdr:row>
      <xdr:rowOff>95250</xdr:rowOff>
    </xdr:from>
    <xdr:to>
      <xdr:col>3</xdr:col>
      <xdr:colOff>114300</xdr:colOff>
      <xdr:row>209</xdr:row>
      <xdr:rowOff>95250</xdr:rowOff>
    </xdr:to>
    <xdr:cxnSp macro="">
      <xdr:nvCxnSpPr>
        <xdr:cNvPr id="125" name="Gerade Verbindung 3979155"/>
        <xdr:cNvCxnSpPr>
          <a:cxnSpLocks noChangeShapeType="1"/>
        </xdr:cNvCxnSpPr>
      </xdr:nvCxnSpPr>
      <xdr:spPr bwMode="auto">
        <a:xfrm>
          <a:off x="2305050" y="24222075"/>
          <a:ext cx="13430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8658</xdr:colOff>
      <xdr:row>197</xdr:row>
      <xdr:rowOff>51954</xdr:rowOff>
    </xdr:from>
    <xdr:to>
      <xdr:col>10</xdr:col>
      <xdr:colOff>34636</xdr:colOff>
      <xdr:row>206</xdr:row>
      <xdr:rowOff>34637</xdr:rowOff>
    </xdr:to>
    <xdr:sp macro="" textlink="">
      <xdr:nvSpPr>
        <xdr:cNvPr id="126" name="Textfeld 125"/>
        <xdr:cNvSpPr txBox="1"/>
      </xdr:nvSpPr>
      <xdr:spPr>
        <a:xfrm>
          <a:off x="5325340" y="36818454"/>
          <a:ext cx="2736273" cy="1463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DE" sz="1100"/>
            <a:t>Der max. Einfallswinkel auf die Linse entspricht dem max. Einfallswinkel auf den Chip.</a:t>
          </a:r>
        </a:p>
        <a:p>
          <a:pPr>
            <a:lnSpc>
              <a:spcPts val="1200"/>
            </a:lnSpc>
          </a:pPr>
          <a:r>
            <a:rPr lang="de-DE" sz="1100"/>
            <a:t>Objektivöffnung,</a:t>
          </a:r>
          <a:r>
            <a:rPr lang="de-DE" sz="1100" baseline="0"/>
            <a:t> Bildkreismittelpunkt und Ecke des Aufnahmeformats bilden ein rechtwinkliges Dreieck. Davon ist eine Seite, die Brennweite, bekannt, ebenso eine zweite Seite, die halbe Formatdiagonale. Daraus lassen sich Winkel berechnen.</a:t>
          </a:r>
        </a:p>
        <a:p>
          <a:pPr>
            <a:lnSpc>
              <a:spcPts val="1200"/>
            </a:lnSpc>
          </a:pPr>
          <a:endParaRPr lang="de-DE" sz="1100" baseline="0"/>
        </a:p>
        <a:p>
          <a:pPr>
            <a:lnSpc>
              <a:spcPts val="1200"/>
            </a:lnSpc>
          </a:pPr>
          <a:endParaRPr lang="de-DE" sz="1100" baseline="0"/>
        </a:p>
        <a:p>
          <a:pPr>
            <a:lnSpc>
              <a:spcPts val="1200"/>
            </a:lnSpc>
          </a:pPr>
          <a:endParaRPr lang="de-DE" sz="1100"/>
        </a:p>
      </xdr:txBody>
    </xdr:sp>
    <xdr:clientData/>
  </xdr:twoCellAnchor>
  <xdr:twoCellAnchor>
    <xdr:from>
      <xdr:col>3</xdr:col>
      <xdr:colOff>83854</xdr:colOff>
      <xdr:row>190</xdr:row>
      <xdr:rowOff>135081</xdr:rowOff>
    </xdr:from>
    <xdr:to>
      <xdr:col>4</xdr:col>
      <xdr:colOff>115389</xdr:colOff>
      <xdr:row>193</xdr:row>
      <xdr:rowOff>12186</xdr:rowOff>
    </xdr:to>
    <xdr:sp macro="" textlink="">
      <xdr:nvSpPr>
        <xdr:cNvPr id="127" name="Textfeld 126"/>
        <xdr:cNvSpPr txBox="1"/>
      </xdr:nvSpPr>
      <xdr:spPr>
        <a:xfrm>
          <a:off x="3617629" y="21185331"/>
          <a:ext cx="793535" cy="36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Einfallswinkel</a:t>
          </a:r>
        </a:p>
      </xdr:txBody>
    </xdr:sp>
    <xdr:clientData/>
  </xdr:twoCellAnchor>
  <xdr:twoCellAnchor>
    <xdr:from>
      <xdr:col>12</xdr:col>
      <xdr:colOff>2381</xdr:colOff>
      <xdr:row>286</xdr:row>
      <xdr:rowOff>19050</xdr:rowOff>
    </xdr:from>
    <xdr:to>
      <xdr:col>22</xdr:col>
      <xdr:colOff>428624</xdr:colOff>
      <xdr:row>311</xdr:row>
      <xdr:rowOff>66675</xdr:rowOff>
    </xdr:to>
    <xdr:graphicFrame macro="">
      <xdr:nvGraphicFramePr>
        <xdr:cNvPr id="128"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76200</xdr:colOff>
      <xdr:row>353</xdr:row>
      <xdr:rowOff>66675</xdr:rowOff>
    </xdr:from>
    <xdr:to>
      <xdr:col>21</xdr:col>
      <xdr:colOff>104775</xdr:colOff>
      <xdr:row>373</xdr:row>
      <xdr:rowOff>95250</xdr:rowOff>
    </xdr:to>
    <xdr:graphicFrame macro="">
      <xdr:nvGraphicFramePr>
        <xdr:cNvPr id="1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161925</xdr:colOff>
      <xdr:row>11</xdr:row>
      <xdr:rowOff>123825</xdr:rowOff>
    </xdr:from>
    <xdr:to>
      <xdr:col>6</xdr:col>
      <xdr:colOff>171450</xdr:colOff>
      <xdr:row>17</xdr:row>
      <xdr:rowOff>142875</xdr:rowOff>
    </xdr:to>
    <xdr:sp macro="" textlink="">
      <xdr:nvSpPr>
        <xdr:cNvPr id="2" name="Zeichnung 1"/>
        <xdr:cNvSpPr>
          <a:spLocks/>
        </xdr:cNvSpPr>
      </xdr:nvSpPr>
      <xdr:spPr bwMode="auto">
        <a:xfrm>
          <a:off x="3752850" y="1924050"/>
          <a:ext cx="2295525" cy="990600"/>
        </a:xfrm>
        <a:custGeom>
          <a:avLst/>
          <a:gdLst>
            <a:gd name="T0" fmla="*/ 0 w 16384"/>
            <a:gd name="T1" fmla="*/ 2147483647 h 16384"/>
            <a:gd name="T2" fmla="*/ 2147483647 w 16384"/>
            <a:gd name="T3" fmla="*/ 2147483647 h 16384"/>
            <a:gd name="T4" fmla="*/ 2147483647 w 16384"/>
            <a:gd name="T5" fmla="*/ 0 h 16384"/>
            <a:gd name="T6" fmla="*/ 0 w 16384"/>
            <a:gd name="T7" fmla="*/ 2147483647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0" y="16384"/>
              </a:moveTo>
              <a:lnTo>
                <a:pt x="16384" y="16384"/>
              </a:lnTo>
              <a:lnTo>
                <a:pt x="16384" y="0"/>
              </a:lnTo>
              <a:lnTo>
                <a:pt x="0" y="16384"/>
              </a:lnTo>
              <a:close/>
            </a:path>
          </a:pathLst>
        </a:custGeom>
        <a:noFill/>
        <a:ln w="2476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533400</xdr:colOff>
      <xdr:row>14</xdr:row>
      <xdr:rowOff>85725</xdr:rowOff>
    </xdr:from>
    <xdr:to>
      <xdr:col>8</xdr:col>
      <xdr:colOff>495300</xdr:colOff>
      <xdr:row>26</xdr:row>
      <xdr:rowOff>19050</xdr:rowOff>
    </xdr:to>
    <xdr:grpSp>
      <xdr:nvGrpSpPr>
        <xdr:cNvPr id="2" name="Group 16"/>
        <xdr:cNvGrpSpPr>
          <a:grpSpLocks/>
        </xdr:cNvGrpSpPr>
      </xdr:nvGrpSpPr>
      <xdr:grpSpPr bwMode="auto">
        <a:xfrm>
          <a:off x="3152775" y="2390775"/>
          <a:ext cx="3771900" cy="1876425"/>
          <a:chOff x="410" y="244"/>
          <a:chExt cx="243" cy="121"/>
        </a:xfrm>
      </xdr:grpSpPr>
      <xdr:sp macro="" textlink="">
        <xdr:nvSpPr>
          <xdr:cNvPr id="3" name="Rectangle 12"/>
          <xdr:cNvSpPr>
            <a:spLocks noChangeArrowheads="1"/>
          </xdr:cNvSpPr>
        </xdr:nvSpPr>
        <xdr:spPr bwMode="auto">
          <a:xfrm>
            <a:off x="460" y="263"/>
            <a:ext cx="140" cy="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Oval 13"/>
          <xdr:cNvSpPr>
            <a:spLocks noChangeArrowheads="1"/>
          </xdr:cNvSpPr>
        </xdr:nvSpPr>
        <xdr:spPr bwMode="auto">
          <a:xfrm>
            <a:off x="470" y="245"/>
            <a:ext cx="120" cy="12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14"/>
          <xdr:cNvSpPr>
            <a:spLocks noChangeShapeType="1"/>
          </xdr:cNvSpPr>
        </xdr:nvSpPr>
        <xdr:spPr bwMode="auto">
          <a:xfrm>
            <a:off x="530" y="244"/>
            <a:ext cx="0" cy="1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Line 15"/>
          <xdr:cNvSpPr>
            <a:spLocks noChangeShapeType="1"/>
          </xdr:cNvSpPr>
        </xdr:nvSpPr>
        <xdr:spPr bwMode="auto">
          <a:xfrm>
            <a:off x="410" y="305"/>
            <a:ext cx="24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xdr:col>
      <xdr:colOff>114300</xdr:colOff>
      <xdr:row>16</xdr:row>
      <xdr:rowOff>57150</xdr:rowOff>
    </xdr:from>
    <xdr:to>
      <xdr:col>7</xdr:col>
      <xdr:colOff>9525</xdr:colOff>
      <xdr:row>20</xdr:row>
      <xdr:rowOff>57150</xdr:rowOff>
    </xdr:to>
    <xdr:sp macro="" textlink="">
      <xdr:nvSpPr>
        <xdr:cNvPr id="7" name="Line 17"/>
        <xdr:cNvSpPr>
          <a:spLocks noChangeShapeType="1"/>
        </xdr:cNvSpPr>
      </xdr:nvSpPr>
      <xdr:spPr bwMode="auto">
        <a:xfrm flipV="1">
          <a:off x="5019675" y="2362200"/>
          <a:ext cx="657225" cy="64770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742950</xdr:colOff>
      <xdr:row>16</xdr:row>
      <xdr:rowOff>47625</xdr:rowOff>
    </xdr:from>
    <xdr:to>
      <xdr:col>6</xdr:col>
      <xdr:colOff>742950</xdr:colOff>
      <xdr:row>16</xdr:row>
      <xdr:rowOff>47625</xdr:rowOff>
    </xdr:to>
    <xdr:sp macro="" textlink="">
      <xdr:nvSpPr>
        <xdr:cNvPr id="8" name="Line 18"/>
        <xdr:cNvSpPr>
          <a:spLocks noChangeShapeType="1"/>
        </xdr:cNvSpPr>
      </xdr:nvSpPr>
      <xdr:spPr bwMode="auto">
        <a:xfrm>
          <a:off x="5648325" y="2352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114300</xdr:colOff>
      <xdr:row>16</xdr:row>
      <xdr:rowOff>57150</xdr:rowOff>
    </xdr:from>
    <xdr:to>
      <xdr:col>6</xdr:col>
      <xdr:colOff>114300</xdr:colOff>
      <xdr:row>20</xdr:row>
      <xdr:rowOff>66675</xdr:rowOff>
    </xdr:to>
    <xdr:sp macro="" textlink="">
      <xdr:nvSpPr>
        <xdr:cNvPr id="9" name="Line 19"/>
        <xdr:cNvSpPr>
          <a:spLocks noChangeShapeType="1"/>
        </xdr:cNvSpPr>
      </xdr:nvSpPr>
      <xdr:spPr bwMode="auto">
        <a:xfrm flipV="1">
          <a:off x="5019675" y="2362200"/>
          <a:ext cx="0" cy="6572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6</xdr:col>
      <xdr:colOff>123825</xdr:colOff>
      <xdr:row>17</xdr:row>
      <xdr:rowOff>28575</xdr:rowOff>
    </xdr:from>
    <xdr:to>
      <xdr:col>6</xdr:col>
      <xdr:colOff>561975</xdr:colOff>
      <xdr:row>18</xdr:row>
      <xdr:rowOff>57150</xdr:rowOff>
    </xdr:to>
    <xdr:sp macro="" textlink="">
      <xdr:nvSpPr>
        <xdr:cNvPr id="10" name="Text Box 20"/>
        <xdr:cNvSpPr txBox="1">
          <a:spLocks noChangeArrowheads="1"/>
        </xdr:cNvSpPr>
      </xdr:nvSpPr>
      <xdr:spPr bwMode="auto">
        <a:xfrm>
          <a:off x="5029200" y="2495550"/>
          <a:ext cx="4381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alpha/2</a:t>
          </a:r>
        </a:p>
      </xdr:txBody>
    </xdr:sp>
    <xdr:clientData/>
  </xdr:twoCellAnchor>
  <xdr:twoCellAnchor editAs="oneCell">
    <xdr:from>
      <xdr:col>5</xdr:col>
      <xdr:colOff>123825</xdr:colOff>
      <xdr:row>18</xdr:row>
      <xdr:rowOff>0</xdr:rowOff>
    </xdr:from>
    <xdr:to>
      <xdr:col>6</xdr:col>
      <xdr:colOff>104775</xdr:colOff>
      <xdr:row>19</xdr:row>
      <xdr:rowOff>28576</xdr:rowOff>
    </xdr:to>
    <xdr:sp macro="" textlink="">
      <xdr:nvSpPr>
        <xdr:cNvPr id="11" name="Text Box 21"/>
        <xdr:cNvSpPr txBox="1">
          <a:spLocks noChangeArrowheads="1"/>
        </xdr:cNvSpPr>
      </xdr:nvSpPr>
      <xdr:spPr bwMode="auto">
        <a:xfrm>
          <a:off x="4267200" y="2628900"/>
          <a:ext cx="742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Formathöhe/2</a:t>
          </a:r>
        </a:p>
      </xdr:txBody>
    </xdr:sp>
    <xdr:clientData/>
  </xdr:twoCellAnchor>
  <xdr:twoCellAnchor editAs="oneCell">
    <xdr:from>
      <xdr:col>6</xdr:col>
      <xdr:colOff>371475</xdr:colOff>
      <xdr:row>18</xdr:row>
      <xdr:rowOff>123825</xdr:rowOff>
    </xdr:from>
    <xdr:to>
      <xdr:col>7</xdr:col>
      <xdr:colOff>47625</xdr:colOff>
      <xdr:row>19</xdr:row>
      <xdr:rowOff>152401</xdr:rowOff>
    </xdr:to>
    <xdr:sp macro="" textlink="">
      <xdr:nvSpPr>
        <xdr:cNvPr id="12" name="Text Box 22"/>
        <xdr:cNvSpPr txBox="1">
          <a:spLocks noChangeArrowheads="1"/>
        </xdr:cNvSpPr>
      </xdr:nvSpPr>
      <xdr:spPr bwMode="auto">
        <a:xfrm>
          <a:off x="5276850" y="2752725"/>
          <a:ext cx="4381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Radius</a:t>
          </a:r>
        </a:p>
      </xdr:txBody>
    </xdr:sp>
    <xdr:clientData/>
  </xdr:twoCellAnchor>
  <xdr:twoCellAnchor editAs="oneCell">
    <xdr:from>
      <xdr:col>5</xdr:col>
      <xdr:colOff>19050</xdr:colOff>
      <xdr:row>28</xdr:row>
      <xdr:rowOff>57150</xdr:rowOff>
    </xdr:from>
    <xdr:to>
      <xdr:col>7</xdr:col>
      <xdr:colOff>171450</xdr:colOff>
      <xdr:row>30</xdr:row>
      <xdr:rowOff>142874</xdr:rowOff>
    </xdr:to>
    <xdr:pic>
      <xdr:nvPicPr>
        <xdr:cNvPr id="13" name="Picture 23" descr="A = \frac{r^2}2 \cdot \left(\alpha-\sin\alpha\righ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4305300"/>
          <a:ext cx="1676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58615</xdr:colOff>
      <xdr:row>38</xdr:row>
      <xdr:rowOff>109904</xdr:rowOff>
    </xdr:from>
    <xdr:to>
      <xdr:col>11</xdr:col>
      <xdr:colOff>201490</xdr:colOff>
      <xdr:row>58</xdr:row>
      <xdr:rowOff>124558</xdr:rowOff>
    </xdr:to>
    <xdr:grpSp>
      <xdr:nvGrpSpPr>
        <xdr:cNvPr id="14" name="Group 12"/>
        <xdr:cNvGrpSpPr>
          <a:grpSpLocks/>
        </xdr:cNvGrpSpPr>
      </xdr:nvGrpSpPr>
      <xdr:grpSpPr bwMode="auto">
        <a:xfrm>
          <a:off x="4201990" y="6434504"/>
          <a:ext cx="4714875" cy="3253154"/>
          <a:chOff x="552" y="34"/>
          <a:chExt cx="495" cy="347"/>
        </a:xfrm>
      </xdr:grpSpPr>
      <xdr:sp macro="" textlink="">
        <xdr:nvSpPr>
          <xdr:cNvPr id="15" name="Line 1"/>
          <xdr:cNvSpPr>
            <a:spLocks noChangeShapeType="1"/>
          </xdr:cNvSpPr>
        </xdr:nvSpPr>
        <xdr:spPr bwMode="auto">
          <a:xfrm>
            <a:off x="627" y="247"/>
            <a:ext cx="34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2"/>
          <xdr:cNvSpPr>
            <a:spLocks noChangeShapeType="1"/>
          </xdr:cNvSpPr>
        </xdr:nvSpPr>
        <xdr:spPr bwMode="auto">
          <a:xfrm flipV="1">
            <a:off x="970" y="34"/>
            <a:ext cx="0" cy="2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3"/>
          <xdr:cNvSpPr>
            <a:spLocks noChangeShapeType="1"/>
          </xdr:cNvSpPr>
        </xdr:nvSpPr>
        <xdr:spPr bwMode="auto">
          <a:xfrm flipV="1">
            <a:off x="628" y="37"/>
            <a:ext cx="341" cy="20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4"/>
          <xdr:cNvSpPr>
            <a:spLocks noChangeShapeType="1"/>
          </xdr:cNvSpPr>
        </xdr:nvSpPr>
        <xdr:spPr bwMode="auto">
          <a:xfrm flipV="1">
            <a:off x="627" y="108"/>
            <a:ext cx="343" cy="1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5"/>
          <xdr:cNvSpPr>
            <a:spLocks noChangeShapeType="1"/>
          </xdr:cNvSpPr>
        </xdr:nvSpPr>
        <xdr:spPr bwMode="auto">
          <a:xfrm flipV="1">
            <a:off x="627" y="173"/>
            <a:ext cx="343" cy="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Text Box 6"/>
          <xdr:cNvSpPr txBox="1">
            <a:spLocks noChangeArrowheads="1"/>
          </xdr:cNvSpPr>
        </xdr:nvSpPr>
        <xdr:spPr bwMode="auto">
          <a:xfrm>
            <a:off x="735" y="263"/>
            <a:ext cx="161" cy="22"/>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Brennweite oder Bildweite</a:t>
            </a:r>
          </a:p>
        </xdr:txBody>
      </xdr:sp>
      <xdr:sp macro="" textlink="">
        <xdr:nvSpPr>
          <xdr:cNvPr id="21" name="Text Box 7"/>
          <xdr:cNvSpPr txBox="1">
            <a:spLocks noChangeArrowheads="1"/>
          </xdr:cNvSpPr>
        </xdr:nvSpPr>
        <xdr:spPr bwMode="auto">
          <a:xfrm>
            <a:off x="735" y="225"/>
            <a:ext cx="86" cy="22"/>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Winkel Alpha</a:t>
            </a:r>
          </a:p>
        </xdr:txBody>
      </xdr:sp>
      <xdr:sp macro="" textlink="">
        <xdr:nvSpPr>
          <xdr:cNvPr id="22" name="Text Box 8"/>
          <xdr:cNvSpPr txBox="1">
            <a:spLocks noChangeArrowheads="1"/>
          </xdr:cNvSpPr>
        </xdr:nvSpPr>
        <xdr:spPr bwMode="auto">
          <a:xfrm>
            <a:off x="649" y="327"/>
            <a:ext cx="263" cy="54"/>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Regel:</a:t>
            </a:r>
          </a:p>
          <a:p>
            <a:pPr algn="l" rtl="0">
              <a:defRPr sz="1000"/>
            </a:pPr>
            <a:r>
              <a:rPr lang="de-DE" sz="1000" b="0" i="0" strike="noStrike">
                <a:solidFill>
                  <a:srgbClr val="000000"/>
                </a:solidFill>
                <a:latin typeface="Arial"/>
                <a:cs typeface="Arial"/>
              </a:rPr>
              <a:t>Cosinus Alpha = Ankathete / Hypothenuse</a:t>
            </a:r>
          </a:p>
          <a:p>
            <a:pPr algn="l" rtl="0">
              <a:defRPr sz="1000"/>
            </a:pPr>
            <a:r>
              <a:rPr lang="de-DE" sz="1000" b="0" i="0" strike="noStrike">
                <a:solidFill>
                  <a:srgbClr val="000000"/>
                </a:solidFill>
                <a:latin typeface="Arial"/>
                <a:cs typeface="Arial"/>
              </a:rPr>
              <a:t>Ankathete = Hypothenuse * Cosinus Alpha</a:t>
            </a:r>
          </a:p>
        </xdr:txBody>
      </xdr:sp>
      <xdr:sp macro="" textlink="">
        <xdr:nvSpPr>
          <xdr:cNvPr id="23" name="Text Box 9"/>
          <xdr:cNvSpPr txBox="1">
            <a:spLocks noChangeArrowheads="1"/>
          </xdr:cNvSpPr>
        </xdr:nvSpPr>
        <xdr:spPr bwMode="auto">
          <a:xfrm>
            <a:off x="980" y="138"/>
            <a:ext cx="67" cy="22"/>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Filmebene</a:t>
            </a:r>
          </a:p>
        </xdr:txBody>
      </xdr:sp>
      <xdr:sp macro="" textlink="">
        <xdr:nvSpPr>
          <xdr:cNvPr id="24" name="Text Box 10"/>
          <xdr:cNvSpPr txBox="1">
            <a:spLocks noChangeArrowheads="1"/>
          </xdr:cNvSpPr>
        </xdr:nvSpPr>
        <xdr:spPr bwMode="auto">
          <a:xfrm>
            <a:off x="552" y="232"/>
            <a:ext cx="93" cy="42"/>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Objektiv / Hauptebene</a:t>
            </a:r>
          </a:p>
        </xdr:txBody>
      </xdr:sp>
    </xdr:grpSp>
    <xdr:clientData/>
  </xdr:twoCellAnchor>
  <xdr:twoCellAnchor>
    <xdr:from>
      <xdr:col>5</xdr:col>
      <xdr:colOff>85725</xdr:colOff>
      <xdr:row>69</xdr:row>
      <xdr:rowOff>133350</xdr:rowOff>
    </xdr:from>
    <xdr:to>
      <xdr:col>7</xdr:col>
      <xdr:colOff>9525</xdr:colOff>
      <xdr:row>79</xdr:row>
      <xdr:rowOff>142875</xdr:rowOff>
    </xdr:to>
    <xdr:grpSp>
      <xdr:nvGrpSpPr>
        <xdr:cNvPr id="36" name="Group 1"/>
        <xdr:cNvGrpSpPr>
          <a:grpSpLocks/>
        </xdr:cNvGrpSpPr>
      </xdr:nvGrpSpPr>
      <xdr:grpSpPr bwMode="auto">
        <a:xfrm>
          <a:off x="4229100" y="11477625"/>
          <a:ext cx="1447800" cy="1628775"/>
          <a:chOff x="466" y="83"/>
          <a:chExt cx="152" cy="171"/>
        </a:xfrm>
      </xdr:grpSpPr>
      <xdr:sp macro="" textlink="">
        <xdr:nvSpPr>
          <xdr:cNvPr id="37" name="Rectangle 2"/>
          <xdr:cNvSpPr>
            <a:spLocks noChangeArrowheads="1"/>
          </xdr:cNvSpPr>
        </xdr:nvSpPr>
        <xdr:spPr bwMode="auto">
          <a:xfrm>
            <a:off x="505" y="111"/>
            <a:ext cx="100" cy="6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 name="Oval 3"/>
          <xdr:cNvSpPr>
            <a:spLocks noChangeArrowheads="1"/>
          </xdr:cNvSpPr>
        </xdr:nvSpPr>
        <xdr:spPr bwMode="auto">
          <a:xfrm>
            <a:off x="492" y="83"/>
            <a:ext cx="126" cy="11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Line 4"/>
          <xdr:cNvSpPr>
            <a:spLocks noChangeShapeType="1"/>
          </xdr:cNvSpPr>
        </xdr:nvSpPr>
        <xdr:spPr bwMode="auto">
          <a:xfrm>
            <a:off x="506" y="112"/>
            <a:ext cx="99" cy="5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Line 5"/>
          <xdr:cNvSpPr>
            <a:spLocks noChangeShapeType="1"/>
          </xdr:cNvSpPr>
        </xdr:nvSpPr>
        <xdr:spPr bwMode="auto">
          <a:xfrm flipH="1">
            <a:off x="466" y="141"/>
            <a:ext cx="89" cy="113"/>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Line 6"/>
          <xdr:cNvSpPr>
            <a:spLocks noChangeShapeType="1"/>
          </xdr:cNvSpPr>
        </xdr:nvSpPr>
        <xdr:spPr bwMode="auto">
          <a:xfrm flipH="1">
            <a:off x="466" y="112"/>
            <a:ext cx="39" cy="141"/>
          </a:xfrm>
          <a:prstGeom prst="line">
            <a:avLst/>
          </a:prstGeom>
          <a:noFill/>
          <a:ln w="285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xdr:col>
      <xdr:colOff>733425</xdr:colOff>
      <xdr:row>91</xdr:row>
      <xdr:rowOff>114300</xdr:rowOff>
    </xdr:from>
    <xdr:to>
      <xdr:col>7</xdr:col>
      <xdr:colOff>561975</xdr:colOff>
      <xdr:row>106</xdr:row>
      <xdr:rowOff>95250</xdr:rowOff>
    </xdr:to>
    <xdr:grpSp>
      <xdr:nvGrpSpPr>
        <xdr:cNvPr id="42" name="Group 610"/>
        <xdr:cNvGrpSpPr>
          <a:grpSpLocks/>
        </xdr:cNvGrpSpPr>
      </xdr:nvGrpSpPr>
      <xdr:grpSpPr bwMode="auto">
        <a:xfrm>
          <a:off x="4114800" y="15020925"/>
          <a:ext cx="2114550" cy="2409825"/>
          <a:chOff x="394" y="420"/>
          <a:chExt cx="222" cy="253"/>
        </a:xfrm>
      </xdr:grpSpPr>
      <xdr:sp macro="" textlink="">
        <xdr:nvSpPr>
          <xdr:cNvPr id="43" name="Rectangle 601"/>
          <xdr:cNvSpPr>
            <a:spLocks noChangeArrowheads="1"/>
          </xdr:cNvSpPr>
        </xdr:nvSpPr>
        <xdr:spPr bwMode="auto">
          <a:xfrm>
            <a:off x="440" y="524"/>
            <a:ext cx="75" cy="109"/>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 name="Oval 603"/>
          <xdr:cNvSpPr>
            <a:spLocks noChangeArrowheads="1"/>
          </xdr:cNvSpPr>
        </xdr:nvSpPr>
        <xdr:spPr bwMode="auto">
          <a:xfrm>
            <a:off x="461" y="469"/>
            <a:ext cx="106" cy="106"/>
          </a:xfrm>
          <a:prstGeom prst="ellipse">
            <a:avLst/>
          </a:prstGeom>
          <a:solidFill>
            <a:srgbClr xmlns:mc="http://schemas.openxmlformats.org/markup-compatibility/2006" xmlns:a14="http://schemas.microsoft.com/office/drawing/2010/main" val="FFFFFF" mc:Ignorable="a14" a14:legacySpreadsheetColorIndex="9">
              <a:alpha val="76862"/>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Line 608"/>
          <xdr:cNvSpPr>
            <a:spLocks noChangeShapeType="1"/>
          </xdr:cNvSpPr>
        </xdr:nvSpPr>
        <xdr:spPr bwMode="auto">
          <a:xfrm>
            <a:off x="394" y="524"/>
            <a:ext cx="222" cy="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Line 609"/>
          <xdr:cNvSpPr>
            <a:spLocks noChangeShapeType="1"/>
          </xdr:cNvSpPr>
        </xdr:nvSpPr>
        <xdr:spPr bwMode="auto">
          <a:xfrm>
            <a:off x="515" y="420"/>
            <a:ext cx="0" cy="253"/>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94457</xdr:colOff>
      <xdr:row>71</xdr:row>
      <xdr:rowOff>88106</xdr:rowOff>
    </xdr:from>
    <xdr:to>
      <xdr:col>13</xdr:col>
      <xdr:colOff>685007</xdr:colOff>
      <xdr:row>95</xdr:row>
      <xdr:rowOff>97631</xdr:rowOff>
    </xdr:to>
    <xdr:grpSp>
      <xdr:nvGrpSpPr>
        <xdr:cNvPr id="2" name="Gruppieren 7"/>
        <xdr:cNvGrpSpPr>
          <a:grpSpLocks/>
        </xdr:cNvGrpSpPr>
      </xdr:nvGrpSpPr>
      <xdr:grpSpPr bwMode="auto">
        <a:xfrm>
          <a:off x="7488238" y="11922919"/>
          <a:ext cx="5162550" cy="4010025"/>
          <a:chOff x="447675" y="5743575"/>
          <a:chExt cx="5162551" cy="3905250"/>
        </a:xfrm>
      </xdr:grpSpPr>
      <xdr:grpSp>
        <xdr:nvGrpSpPr>
          <xdr:cNvPr id="3" name="Gruppieren 32"/>
          <xdr:cNvGrpSpPr>
            <a:grpSpLocks/>
          </xdr:cNvGrpSpPr>
        </xdr:nvGrpSpPr>
        <xdr:grpSpPr bwMode="auto">
          <a:xfrm>
            <a:off x="514351" y="5743575"/>
            <a:ext cx="5095875" cy="3905250"/>
            <a:chOff x="819150" y="5343525"/>
            <a:chExt cx="5095875" cy="3905250"/>
          </a:xfrm>
        </xdr:grpSpPr>
        <xdr:grpSp>
          <xdr:nvGrpSpPr>
            <xdr:cNvPr id="5" name="Gruppieren 33"/>
            <xdr:cNvGrpSpPr>
              <a:grpSpLocks/>
            </xdr:cNvGrpSpPr>
          </xdr:nvGrpSpPr>
          <xdr:grpSpPr bwMode="auto">
            <a:xfrm>
              <a:off x="819150" y="5343525"/>
              <a:ext cx="5095875" cy="3905250"/>
              <a:chOff x="819150" y="5343525"/>
              <a:chExt cx="5095875" cy="3905250"/>
            </a:xfrm>
          </xdr:grpSpPr>
          <xdr:grpSp>
            <xdr:nvGrpSpPr>
              <xdr:cNvPr id="7" name="Gruppieren 35"/>
              <xdr:cNvGrpSpPr>
                <a:grpSpLocks/>
              </xdr:cNvGrpSpPr>
            </xdr:nvGrpSpPr>
            <xdr:grpSpPr bwMode="auto">
              <a:xfrm>
                <a:off x="819150" y="5343525"/>
                <a:ext cx="5095875" cy="3905250"/>
                <a:chOff x="819150" y="5343525"/>
                <a:chExt cx="5095875" cy="3905250"/>
              </a:xfrm>
            </xdr:grpSpPr>
            <xdr:grpSp>
              <xdr:nvGrpSpPr>
                <xdr:cNvPr id="10" name="Gruppieren 34"/>
                <xdr:cNvGrpSpPr>
                  <a:grpSpLocks/>
                </xdr:cNvGrpSpPr>
              </xdr:nvGrpSpPr>
              <xdr:grpSpPr bwMode="auto">
                <a:xfrm>
                  <a:off x="819150" y="5343525"/>
                  <a:ext cx="5095875" cy="3905250"/>
                  <a:chOff x="823232" y="5343525"/>
                  <a:chExt cx="5087907" cy="3906610"/>
                </a:xfrm>
              </xdr:grpSpPr>
              <xdr:sp macro="" textlink="">
                <xdr:nvSpPr>
                  <xdr:cNvPr id="13" name="Textfeld 12"/>
                  <xdr:cNvSpPr txBox="1"/>
                </xdr:nvSpPr>
                <xdr:spPr>
                  <a:xfrm>
                    <a:off x="2620641" y="5353077"/>
                    <a:ext cx="446975" cy="31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HE</a:t>
                    </a:r>
                  </a:p>
                </xdr:txBody>
              </xdr:sp>
              <xdr:grpSp>
                <xdr:nvGrpSpPr>
                  <xdr:cNvPr id="14" name="Gruppieren 33"/>
                  <xdr:cNvGrpSpPr>
                    <a:grpSpLocks/>
                  </xdr:cNvGrpSpPr>
                </xdr:nvGrpSpPr>
                <xdr:grpSpPr bwMode="auto">
                  <a:xfrm>
                    <a:off x="823232" y="5343525"/>
                    <a:ext cx="5087907" cy="3906610"/>
                    <a:chOff x="823232" y="5343525"/>
                    <a:chExt cx="5087907" cy="3906610"/>
                  </a:xfrm>
                </xdr:grpSpPr>
                <xdr:cxnSp macro="">
                  <xdr:nvCxnSpPr>
                    <xdr:cNvPr id="15" name="Gerade Verbindung 15"/>
                    <xdr:cNvCxnSpPr>
                      <a:cxnSpLocks noChangeShapeType="1"/>
                    </xdr:cNvCxnSpPr>
                  </xdr:nvCxnSpPr>
                  <xdr:spPr bwMode="auto">
                    <a:xfrm flipH="1">
                      <a:off x="3116036" y="5419725"/>
                      <a:ext cx="2151289" cy="366168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nvGrpSpPr>
                    <xdr:cNvPr id="16" name="Gruppieren 32"/>
                    <xdr:cNvGrpSpPr>
                      <a:grpSpLocks/>
                    </xdr:cNvGrpSpPr>
                  </xdr:nvGrpSpPr>
                  <xdr:grpSpPr bwMode="auto">
                    <a:xfrm>
                      <a:off x="823232" y="5343525"/>
                      <a:ext cx="5087907" cy="3906610"/>
                      <a:chOff x="823232" y="5343525"/>
                      <a:chExt cx="5087907" cy="3906610"/>
                    </a:xfrm>
                  </xdr:grpSpPr>
                  <xdr:cxnSp macro="">
                    <xdr:nvCxnSpPr>
                      <xdr:cNvPr id="17" name="Gerade Verbindung 20"/>
                      <xdr:cNvCxnSpPr>
                        <a:cxnSpLocks noChangeShapeType="1"/>
                      </xdr:cNvCxnSpPr>
                    </xdr:nvCxnSpPr>
                    <xdr:spPr bwMode="auto">
                      <a:xfrm flipV="1">
                        <a:off x="4657663" y="5836103"/>
                        <a:ext cx="0" cy="635454"/>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nvGrpSpPr>
                      <xdr:cNvPr id="18" name="Gruppieren 31"/>
                      <xdr:cNvGrpSpPr>
                        <a:grpSpLocks/>
                      </xdr:cNvGrpSpPr>
                    </xdr:nvGrpSpPr>
                    <xdr:grpSpPr bwMode="auto">
                      <a:xfrm>
                        <a:off x="823232" y="5343525"/>
                        <a:ext cx="5087907" cy="3906610"/>
                        <a:chOff x="823232" y="5343525"/>
                        <a:chExt cx="5087907" cy="3906610"/>
                      </a:xfrm>
                    </xdr:grpSpPr>
                    <xdr:cxnSp macro="">
                      <xdr:nvCxnSpPr>
                        <xdr:cNvPr id="20" name="Gerade Verbindung 2"/>
                        <xdr:cNvCxnSpPr>
                          <a:cxnSpLocks noChangeShapeType="1"/>
                        </xdr:cNvCxnSpPr>
                      </xdr:nvCxnSpPr>
                      <xdr:spPr bwMode="auto">
                        <a:xfrm>
                          <a:off x="823232" y="6471557"/>
                          <a:ext cx="462642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1" name="Textfeld 20"/>
                        <xdr:cNvSpPr txBox="1"/>
                      </xdr:nvSpPr>
                      <xdr:spPr>
                        <a:xfrm>
                          <a:off x="5464164" y="6327341"/>
                          <a:ext cx="446975" cy="324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OA</a:t>
                          </a:r>
                        </a:p>
                      </xdr:txBody>
                    </xdr:sp>
                    <xdr:cxnSp macro="">
                      <xdr:nvCxnSpPr>
                        <xdr:cNvPr id="22" name="Gerade Verbindung 5"/>
                        <xdr:cNvCxnSpPr>
                          <a:cxnSpLocks noChangeShapeType="1"/>
                        </xdr:cNvCxnSpPr>
                      </xdr:nvCxnSpPr>
                      <xdr:spPr bwMode="auto">
                        <a:xfrm>
                          <a:off x="3102428" y="5343525"/>
                          <a:ext cx="0" cy="3906610"/>
                        </a:xfrm>
                        <a:prstGeom prst="line">
                          <a:avLst/>
                        </a:prstGeom>
                        <a:noFill/>
                        <a:ln w="254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3" name="Gerade Verbindung 9"/>
                        <xdr:cNvCxnSpPr>
                          <a:cxnSpLocks noChangeShapeType="1"/>
                        </xdr:cNvCxnSpPr>
                      </xdr:nvCxnSpPr>
                      <xdr:spPr bwMode="auto">
                        <a:xfrm>
                          <a:off x="3105151" y="7127422"/>
                          <a:ext cx="1140278" cy="0"/>
                        </a:xfrm>
                        <a:prstGeom prst="line">
                          <a:avLst/>
                        </a:prstGeom>
                        <a:noFill/>
                        <a:ln w="25400" algn="ctr">
                          <a:solidFill>
                            <a:srgbClr val="558ED5"/>
                          </a:solidFill>
                          <a:round/>
                          <a:headEnd/>
                          <a:tailEnd/>
                        </a:ln>
                        <a:extLst>
                          <a:ext uri="{909E8E84-426E-40DD-AFC4-6F175D3DCCD1}">
                            <a14:hiddenFill xmlns:a14="http://schemas.microsoft.com/office/drawing/2010/main">
                              <a:noFill/>
                            </a14:hiddenFill>
                          </a:ext>
                        </a:extLst>
                      </xdr:spPr>
                    </xdr:cxnSp>
                    <xdr:sp macro="" textlink="">
                      <xdr:nvSpPr>
                        <xdr:cNvPr id="24" name="Textfeld 23"/>
                        <xdr:cNvSpPr txBox="1"/>
                      </xdr:nvSpPr>
                      <xdr:spPr>
                        <a:xfrm>
                          <a:off x="4960128" y="6021690"/>
                          <a:ext cx="580117" cy="31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accent1"/>
                              </a:solidFill>
                            </a:rPr>
                            <a:t>5 cm</a:t>
                          </a:r>
                        </a:p>
                      </xdr:txBody>
                    </xdr:sp>
                    <xdr:sp macro="" textlink="">
                      <xdr:nvSpPr>
                        <xdr:cNvPr id="25" name="Textfeld 24"/>
                        <xdr:cNvSpPr txBox="1"/>
                      </xdr:nvSpPr>
                      <xdr:spPr>
                        <a:xfrm>
                          <a:off x="3856956" y="6661648"/>
                          <a:ext cx="580117" cy="31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accent1"/>
                              </a:solidFill>
                            </a:rPr>
                            <a:t>5 cm</a:t>
                          </a:r>
                        </a:p>
                      </xdr:txBody>
                    </xdr:sp>
                    <xdr:sp macro="" textlink="">
                      <xdr:nvSpPr>
                        <xdr:cNvPr id="26" name="Textfeld 25"/>
                        <xdr:cNvSpPr txBox="1"/>
                      </xdr:nvSpPr>
                      <xdr:spPr>
                        <a:xfrm>
                          <a:off x="3990097" y="5582315"/>
                          <a:ext cx="580117" cy="31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32 cm</a:t>
                          </a:r>
                        </a:p>
                      </xdr:txBody>
                    </xdr:sp>
                    <xdr:sp macro="" textlink="">
                      <xdr:nvSpPr>
                        <xdr:cNvPr id="27" name="Textfeld 26"/>
                        <xdr:cNvSpPr txBox="1"/>
                      </xdr:nvSpPr>
                      <xdr:spPr>
                        <a:xfrm>
                          <a:off x="3390960" y="7110574"/>
                          <a:ext cx="570607" cy="30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25 cm</a:t>
                          </a:r>
                        </a:p>
                      </xdr:txBody>
                    </xdr:sp>
                    <xdr:cxnSp macro="">
                      <xdr:nvCxnSpPr>
                        <xdr:cNvPr id="28" name="Gerade Verbindung 25"/>
                        <xdr:cNvCxnSpPr>
                          <a:cxnSpLocks noChangeShapeType="1"/>
                        </xdr:cNvCxnSpPr>
                      </xdr:nvCxnSpPr>
                      <xdr:spPr bwMode="auto">
                        <a:xfrm>
                          <a:off x="3094265" y="5802324"/>
                          <a:ext cx="1933571" cy="1361"/>
                        </a:xfrm>
                        <a:prstGeom prst="line">
                          <a:avLst/>
                        </a:prstGeom>
                        <a:noFill/>
                        <a:ln w="25400" algn="ctr">
                          <a:solidFill>
                            <a:srgbClr val="558ED5"/>
                          </a:solidFill>
                          <a:round/>
                          <a:headEnd/>
                          <a:tailEnd/>
                        </a:ln>
                        <a:extLst>
                          <a:ext uri="{909E8E84-426E-40DD-AFC4-6F175D3DCCD1}">
                            <a14:hiddenFill xmlns:a14="http://schemas.microsoft.com/office/drawing/2010/main">
                              <a:noFill/>
                            </a14:hiddenFill>
                          </a:ext>
                        </a:extLst>
                      </xdr:spPr>
                    </xdr:cxnSp>
                    <xdr:cxnSp macro="">
                      <xdr:nvCxnSpPr>
                        <xdr:cNvPr id="29" name="Gerade Verbindung 27"/>
                        <xdr:cNvCxnSpPr>
                          <a:cxnSpLocks noChangeShapeType="1"/>
                        </xdr:cNvCxnSpPr>
                      </xdr:nvCxnSpPr>
                      <xdr:spPr bwMode="auto">
                        <a:xfrm>
                          <a:off x="4264479" y="6496049"/>
                          <a:ext cx="763360" cy="0"/>
                        </a:xfrm>
                        <a:prstGeom prst="line">
                          <a:avLst/>
                        </a:prstGeom>
                        <a:noFill/>
                        <a:ln w="19050" algn="ctr">
                          <a:solidFill>
                            <a:srgbClr val="FF0000"/>
                          </a:solidFill>
                          <a:round/>
                          <a:headEnd/>
                          <a:tailEnd/>
                        </a:ln>
                        <a:extLst>
                          <a:ext uri="{909E8E84-426E-40DD-AFC4-6F175D3DCCD1}">
                            <a14:hiddenFill xmlns:a14="http://schemas.microsoft.com/office/drawing/2010/main">
                              <a:noFill/>
                            </a14:hiddenFill>
                          </a:ext>
                        </a:extLst>
                      </xdr:spPr>
                    </xdr:cxnSp>
                    <xdr:cxnSp macro="">
                      <xdr:nvCxnSpPr>
                        <xdr:cNvPr id="30" name="Gerade Verbindung 29"/>
                        <xdr:cNvCxnSpPr>
                          <a:cxnSpLocks noChangeShapeType="1"/>
                        </xdr:cNvCxnSpPr>
                      </xdr:nvCxnSpPr>
                      <xdr:spPr bwMode="auto">
                        <a:xfrm flipV="1">
                          <a:off x="4261755" y="6486524"/>
                          <a:ext cx="0" cy="635454"/>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1" name="Textfeld 30"/>
                        <xdr:cNvSpPr txBox="1"/>
                      </xdr:nvSpPr>
                      <xdr:spPr>
                        <a:xfrm>
                          <a:off x="4598744" y="6461064"/>
                          <a:ext cx="570607" cy="31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3,5 cm</a:t>
                          </a:r>
                        </a:p>
                      </xdr:txBody>
                    </xdr:sp>
                  </xdr:grpSp>
                  <xdr:cxnSp macro="">
                    <xdr:nvCxnSpPr>
                      <xdr:cNvPr id="19" name="Gerade Verbindung 23"/>
                      <xdr:cNvCxnSpPr>
                        <a:cxnSpLocks noChangeShapeType="1"/>
                      </xdr:cNvCxnSpPr>
                    </xdr:nvCxnSpPr>
                    <xdr:spPr bwMode="auto">
                      <a:xfrm flipV="1">
                        <a:off x="5030559" y="5838825"/>
                        <a:ext cx="0" cy="635454"/>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grpSp>
            </xdr:grpSp>
            <xdr:sp macro="" textlink="">
              <xdr:nvSpPr>
                <xdr:cNvPr id="11" name="Rechtwinkliges Dreieck 24"/>
                <xdr:cNvSpPr>
                  <a:spLocks noChangeArrowheads="1"/>
                </xdr:cNvSpPr>
              </xdr:nvSpPr>
              <xdr:spPr bwMode="auto">
                <a:xfrm flipV="1">
                  <a:off x="4667250" y="5829300"/>
                  <a:ext cx="352424" cy="647700"/>
                </a:xfrm>
                <a:prstGeom prst="rtTriangle">
                  <a:avLst/>
                </a:prstGeom>
                <a:solidFill>
                  <a:srgbClr val="93CDDD">
                    <a:alpha val="43921"/>
                  </a:srgbClr>
                </a:solidFill>
                <a:ln w="9525" algn="ctr">
                  <a:solidFill>
                    <a:srgbClr val="000000"/>
                  </a:solidFill>
                  <a:round/>
                  <a:headEnd/>
                  <a:tailEnd/>
                </a:ln>
              </xdr:spPr>
            </xdr:sp>
            <xdr:sp macro="" textlink="">
              <xdr:nvSpPr>
                <xdr:cNvPr id="12" name="Rechtwinkliges Dreieck 24"/>
                <xdr:cNvSpPr>
                  <a:spLocks noChangeArrowheads="1"/>
                </xdr:cNvSpPr>
              </xdr:nvSpPr>
              <xdr:spPr bwMode="auto">
                <a:xfrm flipV="1">
                  <a:off x="3114675" y="6467475"/>
                  <a:ext cx="1543050" cy="2609850"/>
                </a:xfrm>
                <a:prstGeom prst="rtTriangle">
                  <a:avLst/>
                </a:prstGeom>
                <a:solidFill>
                  <a:srgbClr val="93CDDD">
                    <a:alpha val="25098"/>
                  </a:srgbClr>
                </a:solidFill>
                <a:ln w="9525" algn="ctr">
                  <a:solidFill>
                    <a:srgbClr val="000000"/>
                  </a:solidFill>
                  <a:round/>
                  <a:headEnd/>
                  <a:tailEnd/>
                </a:ln>
              </xdr:spPr>
            </xdr:sp>
          </xdr:grpSp>
          <xdr:sp macro="" textlink="">
            <xdr:nvSpPr>
              <xdr:cNvPr id="8" name="Textfeld 7"/>
              <xdr:cNvSpPr txBox="1"/>
            </xdr:nvSpPr>
            <xdr:spPr bwMode="auto">
              <a:xfrm>
                <a:off x="2838446" y="7585326"/>
                <a:ext cx="447675" cy="315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t>L</a:t>
                </a:r>
              </a:p>
            </xdr:txBody>
          </xdr:sp>
          <xdr:sp macro="" textlink="">
            <xdr:nvSpPr>
              <xdr:cNvPr id="9" name="Textfeld 8"/>
              <xdr:cNvSpPr txBox="1"/>
            </xdr:nvSpPr>
            <xdr:spPr bwMode="auto">
              <a:xfrm>
                <a:off x="1647824" y="6231516"/>
                <a:ext cx="447675" cy="315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a:t>
                </a:r>
              </a:p>
            </xdr:txBody>
          </xdr:sp>
        </xdr:grpSp>
        <xdr:sp macro="" textlink="">
          <xdr:nvSpPr>
            <xdr:cNvPr id="6" name="Textfeld 5"/>
            <xdr:cNvSpPr txBox="1"/>
          </xdr:nvSpPr>
          <xdr:spPr bwMode="auto">
            <a:xfrm>
              <a:off x="3971925" y="6241064"/>
              <a:ext cx="447675" cy="315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a:t>
              </a:r>
            </a:p>
          </xdr:txBody>
        </xdr:sp>
      </xdr:grpSp>
      <xdr:sp macro="" textlink="">
        <xdr:nvSpPr>
          <xdr:cNvPr id="4" name="Rechtwinkliges Dreieck 24"/>
          <xdr:cNvSpPr>
            <a:spLocks noChangeArrowheads="1"/>
          </xdr:cNvSpPr>
        </xdr:nvSpPr>
        <xdr:spPr bwMode="auto">
          <a:xfrm flipH="1" flipV="1">
            <a:off x="447675" y="6858000"/>
            <a:ext cx="2352675" cy="2609850"/>
          </a:xfrm>
          <a:prstGeom prst="rtTriangle">
            <a:avLst/>
          </a:prstGeom>
          <a:solidFill>
            <a:srgbClr val="FFFF00">
              <a:alpha val="25098"/>
            </a:srgbClr>
          </a:solidFill>
          <a:ln w="9525" algn="ctr">
            <a:solidFill>
              <a:srgbClr val="000000"/>
            </a:solidFill>
            <a:round/>
            <a:headEnd/>
            <a:tailEnd/>
          </a:ln>
        </xdr:spPr>
      </xdr:sp>
    </xdr:grpSp>
    <xdr:clientData/>
  </xdr:twoCellAnchor>
  <xdr:twoCellAnchor>
    <xdr:from>
      <xdr:col>7</xdr:col>
      <xdr:colOff>35719</xdr:colOff>
      <xdr:row>106</xdr:row>
      <xdr:rowOff>123824</xdr:rowOff>
    </xdr:from>
    <xdr:to>
      <xdr:col>16</xdr:col>
      <xdr:colOff>590550</xdr:colOff>
      <xdr:row>135</xdr:row>
      <xdr:rowOff>114299</xdr:rowOff>
    </xdr:to>
    <xdr:grpSp>
      <xdr:nvGrpSpPr>
        <xdr:cNvPr id="89" name="Gruppieren 88"/>
        <xdr:cNvGrpSpPr/>
      </xdr:nvGrpSpPr>
      <xdr:grpSpPr>
        <a:xfrm>
          <a:off x="7429500" y="17792699"/>
          <a:ext cx="7412831" cy="4824413"/>
          <a:chOff x="7381875" y="19495293"/>
          <a:chExt cx="7412831" cy="4824413"/>
        </a:xfrm>
      </xdr:grpSpPr>
      <xdr:grpSp>
        <xdr:nvGrpSpPr>
          <xdr:cNvPr id="32" name="Gruppieren 1"/>
          <xdr:cNvGrpSpPr>
            <a:grpSpLocks/>
          </xdr:cNvGrpSpPr>
        </xdr:nvGrpSpPr>
        <xdr:grpSpPr bwMode="auto">
          <a:xfrm>
            <a:off x="7381875" y="19495293"/>
            <a:ext cx="7412831" cy="4824413"/>
            <a:chOff x="523875" y="10664825"/>
            <a:chExt cx="7162800" cy="4594225"/>
          </a:xfrm>
        </xdr:grpSpPr>
        <xdr:grpSp>
          <xdr:nvGrpSpPr>
            <xdr:cNvPr id="33" name="Gruppieren 21"/>
            <xdr:cNvGrpSpPr>
              <a:grpSpLocks/>
            </xdr:cNvGrpSpPr>
          </xdr:nvGrpSpPr>
          <xdr:grpSpPr bwMode="auto">
            <a:xfrm>
              <a:off x="523875" y="10664825"/>
              <a:ext cx="7162800" cy="4594225"/>
              <a:chOff x="873125" y="11001375"/>
              <a:chExt cx="6670675" cy="4686300"/>
            </a:xfrm>
          </xdr:grpSpPr>
          <xdr:grpSp>
            <xdr:nvGrpSpPr>
              <xdr:cNvPr id="35" name="Gruppieren 20"/>
              <xdr:cNvGrpSpPr>
                <a:grpSpLocks/>
              </xdr:cNvGrpSpPr>
            </xdr:nvGrpSpPr>
            <xdr:grpSpPr bwMode="auto">
              <a:xfrm>
                <a:off x="873125" y="11001375"/>
                <a:ext cx="6670675" cy="4686300"/>
                <a:chOff x="873125" y="11001375"/>
                <a:chExt cx="6670675" cy="4686300"/>
              </a:xfrm>
            </xdr:grpSpPr>
            <xdr:grpSp>
              <xdr:nvGrpSpPr>
                <xdr:cNvPr id="41" name="Gruppieren 18"/>
                <xdr:cNvGrpSpPr>
                  <a:grpSpLocks/>
                </xdr:cNvGrpSpPr>
              </xdr:nvGrpSpPr>
              <xdr:grpSpPr bwMode="auto">
                <a:xfrm>
                  <a:off x="873125" y="11001375"/>
                  <a:ext cx="6670675" cy="4686300"/>
                  <a:chOff x="873125" y="11001375"/>
                  <a:chExt cx="6670675" cy="4686300"/>
                </a:xfrm>
              </xdr:grpSpPr>
              <xdr:sp macro="" textlink="">
                <xdr:nvSpPr>
                  <xdr:cNvPr id="43" name="Rechteck 3"/>
                  <xdr:cNvSpPr>
                    <a:spLocks noChangeArrowheads="1"/>
                  </xdr:cNvSpPr>
                </xdr:nvSpPr>
                <xdr:spPr bwMode="auto">
                  <a:xfrm>
                    <a:off x="1412896" y="11180793"/>
                    <a:ext cx="2012950" cy="1943100"/>
                  </a:xfrm>
                  <a:prstGeom prst="rect">
                    <a:avLst/>
                  </a:prstGeom>
                  <a:solidFill>
                    <a:srgbClr val="FFFFFF"/>
                  </a:solidFill>
                  <a:ln w="9525" algn="ctr">
                    <a:solidFill>
                      <a:srgbClr val="000000"/>
                    </a:solidFill>
                    <a:round/>
                    <a:headEnd/>
                    <a:tailEnd/>
                  </a:ln>
                </xdr:spPr>
              </xdr:sp>
              <xdr:cxnSp macro="">
                <xdr:nvCxnSpPr>
                  <xdr:cNvPr id="44" name="Gerade Verbindung 2"/>
                  <xdr:cNvCxnSpPr>
                    <a:cxnSpLocks noChangeShapeType="1"/>
                  </xdr:cNvCxnSpPr>
                </xdr:nvCxnSpPr>
                <xdr:spPr bwMode="auto">
                  <a:xfrm>
                    <a:off x="873125" y="12457142"/>
                    <a:ext cx="6108700" cy="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45" name="Gerade Verbindung 5"/>
                  <xdr:cNvCxnSpPr>
                    <a:cxnSpLocks noChangeShapeType="1"/>
                  </xdr:cNvCxnSpPr>
                </xdr:nvCxnSpPr>
                <xdr:spPr bwMode="auto">
                  <a:xfrm>
                    <a:off x="1420091" y="11181484"/>
                    <a:ext cx="4483677" cy="4348596"/>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6" name="Ellipse 6"/>
                  <xdr:cNvSpPr>
                    <a:spLocks noChangeArrowheads="1"/>
                  </xdr:cNvSpPr>
                </xdr:nvSpPr>
                <xdr:spPr bwMode="auto">
                  <a:xfrm>
                    <a:off x="1352550" y="11106150"/>
                    <a:ext cx="171450" cy="171450"/>
                  </a:xfrm>
                  <a:prstGeom prst="ellipse">
                    <a:avLst/>
                  </a:prstGeom>
                  <a:solidFill>
                    <a:srgbClr val="C0504D"/>
                  </a:solidFill>
                  <a:ln w="9525" algn="ctr">
                    <a:solidFill>
                      <a:srgbClr val="000000"/>
                    </a:solidFill>
                    <a:round/>
                    <a:headEnd/>
                    <a:tailEnd/>
                  </a:ln>
                </xdr:spPr>
              </xdr:sp>
              <xdr:sp macro="" textlink="">
                <xdr:nvSpPr>
                  <xdr:cNvPr id="47" name="Ellipse 38"/>
                  <xdr:cNvSpPr>
                    <a:spLocks noChangeArrowheads="1"/>
                  </xdr:cNvSpPr>
                </xdr:nvSpPr>
                <xdr:spPr bwMode="auto">
                  <a:xfrm>
                    <a:off x="3333750" y="13030200"/>
                    <a:ext cx="171450" cy="171450"/>
                  </a:xfrm>
                  <a:prstGeom prst="ellipse">
                    <a:avLst/>
                  </a:prstGeom>
                  <a:solidFill>
                    <a:srgbClr val="C0504D"/>
                  </a:solidFill>
                  <a:ln w="9525" algn="ctr">
                    <a:solidFill>
                      <a:srgbClr val="000000"/>
                    </a:solidFill>
                    <a:round/>
                    <a:headEnd/>
                    <a:tailEnd/>
                  </a:ln>
                </xdr:spPr>
              </xdr:sp>
              <xdr:sp macro="" textlink="">
                <xdr:nvSpPr>
                  <xdr:cNvPr id="48" name="Textfeld 47"/>
                  <xdr:cNvSpPr txBox="1"/>
                </xdr:nvSpPr>
                <xdr:spPr>
                  <a:xfrm>
                    <a:off x="4465709" y="11134725"/>
                    <a:ext cx="47014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3 m</a:t>
                    </a:r>
                  </a:p>
                </xdr:txBody>
              </xdr:sp>
              <xdr:sp macro="" textlink="">
                <xdr:nvSpPr>
                  <xdr:cNvPr id="49" name="Textfeld 48"/>
                  <xdr:cNvSpPr txBox="1"/>
                </xdr:nvSpPr>
                <xdr:spPr>
                  <a:xfrm>
                    <a:off x="7073659" y="12325350"/>
                    <a:ext cx="47014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OA</a:t>
                    </a:r>
                  </a:p>
                </xdr:txBody>
              </xdr:sp>
              <xdr:cxnSp macro="">
                <xdr:nvCxnSpPr>
                  <xdr:cNvPr id="50" name="Gerade Verbindung 9"/>
                  <xdr:cNvCxnSpPr>
                    <a:cxnSpLocks noChangeShapeType="1"/>
                  </xdr:cNvCxnSpPr>
                </xdr:nvCxnSpPr>
                <xdr:spPr bwMode="auto">
                  <a:xfrm>
                    <a:off x="3438525" y="11191875"/>
                    <a:ext cx="24479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51" name="Gerade Verbindung 17"/>
                  <xdr:cNvCxnSpPr>
                    <a:cxnSpLocks noChangeShapeType="1"/>
                  </xdr:cNvCxnSpPr>
                </xdr:nvCxnSpPr>
                <xdr:spPr bwMode="auto">
                  <a:xfrm>
                    <a:off x="5895975" y="11001375"/>
                    <a:ext cx="0" cy="468630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42" name="Rechtwinkliges Dreieck 14"/>
                <xdr:cNvSpPr>
                  <a:spLocks noChangeArrowheads="1"/>
                </xdr:cNvSpPr>
              </xdr:nvSpPr>
              <xdr:spPr bwMode="auto">
                <a:xfrm rot="10800000">
                  <a:off x="1428749" y="11201399"/>
                  <a:ext cx="2009775" cy="1962150"/>
                </a:xfrm>
                <a:prstGeom prst="rtTriangle">
                  <a:avLst/>
                </a:prstGeom>
                <a:solidFill>
                  <a:srgbClr val="F2DCDB">
                    <a:alpha val="50195"/>
                  </a:srgbClr>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6" name="Gruppieren 19"/>
              <xdr:cNvGrpSpPr>
                <a:grpSpLocks/>
              </xdr:cNvGrpSpPr>
            </xdr:nvGrpSpPr>
            <xdr:grpSpPr bwMode="auto">
              <a:xfrm>
                <a:off x="2343150" y="11125200"/>
                <a:ext cx="1190625" cy="1733550"/>
                <a:chOff x="2343150" y="11125200"/>
                <a:chExt cx="1190625" cy="1733550"/>
              </a:xfrm>
            </xdr:grpSpPr>
            <xdr:cxnSp macro="">
              <xdr:nvCxnSpPr>
                <xdr:cNvPr id="37" name="Gerade Verbindung 36"/>
                <xdr:cNvCxnSpPr/>
              </xdr:nvCxnSpPr>
              <xdr:spPr bwMode="auto">
                <a:xfrm>
                  <a:off x="2735947" y="12430125"/>
                  <a:ext cx="700775" cy="0"/>
                </a:xfrm>
                <a:prstGeom prst="line">
                  <a:avLst/>
                </a:prstGeom>
                <a:ln w="38100">
                  <a:solidFill>
                    <a:srgbClr val="FF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sp macro="" textlink="">
              <xdr:nvSpPr>
                <xdr:cNvPr id="38" name="Textfeld 37"/>
                <xdr:cNvSpPr txBox="1"/>
              </xdr:nvSpPr>
              <xdr:spPr>
                <a:xfrm>
                  <a:off x="3064158" y="11687175"/>
                  <a:ext cx="47014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2 m</a:t>
                  </a:r>
                </a:p>
              </xdr:txBody>
            </xdr:sp>
            <xdr:sp macro="" textlink="">
              <xdr:nvSpPr>
                <xdr:cNvPr id="39" name="Textfeld 38"/>
                <xdr:cNvSpPr txBox="1"/>
              </xdr:nvSpPr>
              <xdr:spPr>
                <a:xfrm>
                  <a:off x="3064158" y="12563475"/>
                  <a:ext cx="47014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m</a:t>
                  </a:r>
                </a:p>
              </xdr:txBody>
            </xdr:sp>
            <xdr:sp macro="" textlink="">
              <xdr:nvSpPr>
                <xdr:cNvPr id="40" name="Textfeld 39"/>
                <xdr:cNvSpPr txBox="1"/>
              </xdr:nvSpPr>
              <xdr:spPr>
                <a:xfrm>
                  <a:off x="2345641" y="11125200"/>
                  <a:ext cx="47014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2 m</a:t>
                  </a:r>
                </a:p>
              </xdr:txBody>
            </xdr:sp>
          </xdr:grpSp>
        </xdr:grpSp>
        <xdr:sp macro="" textlink="">
          <xdr:nvSpPr>
            <xdr:cNvPr id="34" name="Rechtwinkliges Dreieck 22"/>
            <xdr:cNvSpPr>
              <a:spLocks noChangeArrowheads="1"/>
            </xdr:cNvSpPr>
          </xdr:nvSpPr>
          <xdr:spPr bwMode="auto">
            <a:xfrm flipV="1">
              <a:off x="5924550" y="12100237"/>
              <a:ext cx="895350" cy="2984188"/>
            </a:xfrm>
            <a:prstGeom prst="rtTriangle">
              <a:avLst/>
            </a:prstGeom>
            <a:solidFill>
              <a:srgbClr val="B9CDE5"/>
            </a:solidFill>
            <a:ln w="9525" algn="ctr">
              <a:solidFill>
                <a:srgbClr val="000000"/>
              </a:solidFill>
              <a:round/>
              <a:headEnd/>
              <a:tailEnd/>
            </a:ln>
          </xdr:spPr>
        </xdr:sp>
      </xdr:grpSp>
      <xdr:sp macro="" textlink="">
        <xdr:nvSpPr>
          <xdr:cNvPr id="52" name="Textfeld 51"/>
          <xdr:cNvSpPr txBox="1"/>
        </xdr:nvSpPr>
        <xdr:spPr>
          <a:xfrm>
            <a:off x="13017500" y="20748622"/>
            <a:ext cx="8518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a:t>Bildweite</a:t>
            </a:r>
            <a:r>
              <a:rPr lang="de-DE" sz="1100" baseline="0"/>
              <a:t> a'</a:t>
            </a:r>
            <a:endParaRPr lang="de-DE" sz="1100"/>
          </a:p>
        </xdr:txBody>
      </xdr:sp>
      <xdr:sp macro="" textlink="">
        <xdr:nvSpPr>
          <xdr:cNvPr id="53" name="Textfeld 52"/>
          <xdr:cNvSpPr txBox="1"/>
        </xdr:nvSpPr>
        <xdr:spPr>
          <a:xfrm>
            <a:off x="12661636" y="22050110"/>
            <a:ext cx="2439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a:t>L</a:t>
            </a:r>
          </a:p>
        </xdr:txBody>
      </xdr:sp>
    </xdr:grpSp>
    <xdr:clientData/>
  </xdr:twoCellAnchor>
  <xdr:twoCellAnchor>
    <xdr:from>
      <xdr:col>7</xdr:col>
      <xdr:colOff>0</xdr:colOff>
      <xdr:row>56</xdr:row>
      <xdr:rowOff>0</xdr:rowOff>
    </xdr:from>
    <xdr:to>
      <xdr:col>12</xdr:col>
      <xdr:colOff>757767</xdr:colOff>
      <xdr:row>69</xdr:row>
      <xdr:rowOff>93839</xdr:rowOff>
    </xdr:to>
    <xdr:grpSp>
      <xdr:nvGrpSpPr>
        <xdr:cNvPr id="54" name="Group 83"/>
        <xdr:cNvGrpSpPr>
          <a:grpSpLocks/>
        </xdr:cNvGrpSpPr>
      </xdr:nvGrpSpPr>
      <xdr:grpSpPr bwMode="auto">
        <a:xfrm>
          <a:off x="7393781" y="9334500"/>
          <a:ext cx="4567767" cy="2260777"/>
          <a:chOff x="96" y="114"/>
          <a:chExt cx="632" cy="302"/>
        </a:xfrm>
      </xdr:grpSpPr>
      <xdr:cxnSp macro="">
        <xdr:nvCxnSpPr>
          <xdr:cNvPr id="55" name="Gerade Verbindung 2"/>
          <xdr:cNvCxnSpPr>
            <a:cxnSpLocks noChangeShapeType="1"/>
          </xdr:cNvCxnSpPr>
        </xdr:nvCxnSpPr>
        <xdr:spPr bwMode="auto">
          <a:xfrm>
            <a:off x="123" y="189"/>
            <a:ext cx="59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56" name="Gerade Verbindung 4"/>
          <xdr:cNvCxnSpPr>
            <a:cxnSpLocks noChangeShapeType="1"/>
          </xdr:cNvCxnSpPr>
        </xdr:nvCxnSpPr>
        <xdr:spPr bwMode="auto">
          <a:xfrm>
            <a:off x="548" y="143"/>
            <a:ext cx="0" cy="27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57" name="Gerade Verbindung 5"/>
          <xdr:cNvCxnSpPr>
            <a:cxnSpLocks noChangeShapeType="1"/>
          </xdr:cNvCxnSpPr>
        </xdr:nvCxnSpPr>
        <xdr:spPr bwMode="auto">
          <a:xfrm>
            <a:off x="96" y="143"/>
            <a:ext cx="453" cy="270"/>
          </a:xfrm>
          <a:prstGeom prst="line">
            <a:avLst/>
          </a:prstGeom>
          <a:noFill/>
          <a:ln w="25400" algn="ctr">
            <a:solidFill>
              <a:srgbClr val="9BBB59"/>
            </a:solidFill>
            <a:round/>
            <a:headEnd/>
            <a:tailEn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cxnSp macro="">
        <xdr:nvCxnSpPr>
          <xdr:cNvPr id="58" name="Gerade Verbindung 8"/>
          <xdr:cNvCxnSpPr>
            <a:cxnSpLocks noChangeShapeType="1"/>
          </xdr:cNvCxnSpPr>
        </xdr:nvCxnSpPr>
        <xdr:spPr bwMode="auto">
          <a:xfrm flipH="1">
            <a:off x="549" y="135"/>
            <a:ext cx="130" cy="277"/>
          </a:xfrm>
          <a:prstGeom prst="line">
            <a:avLst/>
          </a:prstGeom>
          <a:noFill/>
          <a:ln w="25400" algn="ctr">
            <a:solidFill>
              <a:srgbClr val="C0504D"/>
            </a:solidFill>
            <a:round/>
            <a:headEnd/>
            <a:tailEn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sp macro="" textlink="">
        <xdr:nvSpPr>
          <xdr:cNvPr id="59" name="Textfeld 18"/>
          <xdr:cNvSpPr txBox="1">
            <a:spLocks noChangeArrowheads="1"/>
          </xdr:cNvSpPr>
        </xdr:nvSpPr>
        <xdr:spPr bwMode="auto">
          <a:xfrm>
            <a:off x="113" y="129"/>
            <a:ext cx="59" cy="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de-DE" sz="1100" b="0" i="0" u="none" strike="noStrike" baseline="0">
                <a:solidFill>
                  <a:srgbClr val="000000"/>
                </a:solidFill>
                <a:latin typeface="Calibri"/>
              </a:rPr>
              <a:t>SchE</a:t>
            </a:r>
          </a:p>
        </xdr:txBody>
      </xdr:sp>
      <xdr:sp macro="" textlink="">
        <xdr:nvSpPr>
          <xdr:cNvPr id="60" name="Textfeld 19"/>
          <xdr:cNvSpPr txBox="1">
            <a:spLocks noChangeArrowheads="1"/>
          </xdr:cNvSpPr>
        </xdr:nvSpPr>
        <xdr:spPr bwMode="auto">
          <a:xfrm>
            <a:off x="669" y="149"/>
            <a:ext cx="59" cy="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de-DE" sz="1100" b="0" i="0" u="none" strike="noStrike" baseline="0">
                <a:solidFill>
                  <a:srgbClr val="000000"/>
                </a:solidFill>
                <a:latin typeface="Calibri"/>
              </a:rPr>
              <a:t>BE</a:t>
            </a:r>
          </a:p>
        </xdr:txBody>
      </xdr:sp>
      <xdr:sp macro="" textlink="">
        <xdr:nvSpPr>
          <xdr:cNvPr id="61" name="Textfeld 20"/>
          <xdr:cNvSpPr txBox="1">
            <a:spLocks noChangeArrowheads="1"/>
          </xdr:cNvSpPr>
        </xdr:nvSpPr>
        <xdr:spPr bwMode="auto">
          <a:xfrm>
            <a:off x="528" y="114"/>
            <a:ext cx="59" cy="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de-DE" sz="1100" b="0" i="0" u="none" strike="noStrike" baseline="0">
                <a:solidFill>
                  <a:srgbClr val="000000"/>
                </a:solidFill>
                <a:latin typeface="Calibri"/>
              </a:rPr>
              <a:t>HE</a:t>
            </a:r>
          </a:p>
        </xdr:txBody>
      </xdr:sp>
      <xdr:cxnSp macro="">
        <xdr:nvCxnSpPr>
          <xdr:cNvPr id="62" name="Gerade Verbindung 24"/>
          <xdr:cNvCxnSpPr>
            <a:cxnSpLocks noChangeShapeType="1"/>
          </xdr:cNvCxnSpPr>
        </xdr:nvCxnSpPr>
        <xdr:spPr bwMode="auto">
          <a:xfrm>
            <a:off x="249" y="139"/>
            <a:ext cx="300" cy="163"/>
          </a:xfrm>
          <a:prstGeom prst="line">
            <a:avLst/>
          </a:prstGeom>
          <a:noFill/>
          <a:ln w="25400" algn="ctr">
            <a:solidFill>
              <a:srgbClr val="00B050"/>
            </a:solidFill>
            <a:round/>
            <a:headEnd/>
            <a:tailEn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cxnSp macro="">
        <xdr:nvCxnSpPr>
          <xdr:cNvPr id="63" name="Gerade Verbindung 26"/>
          <xdr:cNvCxnSpPr>
            <a:cxnSpLocks noChangeShapeType="1"/>
          </xdr:cNvCxnSpPr>
        </xdr:nvCxnSpPr>
        <xdr:spPr bwMode="auto">
          <a:xfrm flipH="1">
            <a:off x="549" y="142"/>
            <a:ext cx="179" cy="160"/>
          </a:xfrm>
          <a:prstGeom prst="line">
            <a:avLst/>
          </a:prstGeom>
          <a:noFill/>
          <a:ln w="25400" algn="ctr">
            <a:solidFill>
              <a:srgbClr val="F79646"/>
            </a:solidFill>
            <a:round/>
            <a:headEnd/>
            <a:tailEn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grpSp>
    <xdr:clientData/>
  </xdr:twoCellAnchor>
  <xdr:twoCellAnchor editAs="oneCell">
    <xdr:from>
      <xdr:col>7</xdr:col>
      <xdr:colOff>547465</xdr:colOff>
      <xdr:row>6</xdr:row>
      <xdr:rowOff>97569</xdr:rowOff>
    </xdr:from>
    <xdr:to>
      <xdr:col>15</xdr:col>
      <xdr:colOff>607218</xdr:colOff>
      <xdr:row>32</xdr:row>
      <xdr:rowOff>79875</xdr:rowOff>
    </xdr:to>
    <xdr:pic>
      <xdr:nvPicPr>
        <xdr:cNvPr id="64" name="Grafik 6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1246" y="1097694"/>
          <a:ext cx="6155753" cy="4316181"/>
        </a:xfrm>
        <a:prstGeom prst="rect">
          <a:avLst/>
        </a:prstGeom>
      </xdr:spPr>
    </xdr:pic>
    <xdr:clientData/>
  </xdr:twoCellAnchor>
  <xdr:twoCellAnchor>
    <xdr:from>
      <xdr:col>1</xdr:col>
      <xdr:colOff>809625</xdr:colOff>
      <xdr:row>183</xdr:row>
      <xdr:rowOff>0</xdr:rowOff>
    </xdr:from>
    <xdr:to>
      <xdr:col>11</xdr:col>
      <xdr:colOff>257175</xdr:colOff>
      <xdr:row>208</xdr:row>
      <xdr:rowOff>28575</xdr:rowOff>
    </xdr:to>
    <xdr:graphicFrame macro="">
      <xdr:nvGraphicFramePr>
        <xdr:cNvPr id="7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409575</xdr:colOff>
      <xdr:row>160</xdr:row>
      <xdr:rowOff>95250</xdr:rowOff>
    </xdr:from>
    <xdr:to>
      <xdr:col>11</xdr:col>
      <xdr:colOff>523875</xdr:colOff>
      <xdr:row>181</xdr:row>
      <xdr:rowOff>0</xdr:rowOff>
    </xdr:to>
    <xdr:grpSp>
      <xdr:nvGrpSpPr>
        <xdr:cNvPr id="78" name="Group 19"/>
        <xdr:cNvGrpSpPr>
          <a:grpSpLocks/>
        </xdr:cNvGrpSpPr>
      </xdr:nvGrpSpPr>
      <xdr:grpSpPr bwMode="auto">
        <a:xfrm>
          <a:off x="8565356" y="26765250"/>
          <a:ext cx="2400300" cy="3405188"/>
          <a:chOff x="850" y="351"/>
          <a:chExt cx="308" cy="350"/>
        </a:xfrm>
      </xdr:grpSpPr>
      <xdr:sp macro="" textlink="">
        <xdr:nvSpPr>
          <xdr:cNvPr id="79" name="Line 3"/>
          <xdr:cNvSpPr>
            <a:spLocks noChangeShapeType="1"/>
          </xdr:cNvSpPr>
        </xdr:nvSpPr>
        <xdr:spPr bwMode="auto">
          <a:xfrm rot="19939113" flipH="1">
            <a:off x="927" y="351"/>
            <a:ext cx="2" cy="350"/>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 name="Line 1"/>
          <xdr:cNvSpPr>
            <a:spLocks noChangeShapeType="1"/>
          </xdr:cNvSpPr>
        </xdr:nvSpPr>
        <xdr:spPr bwMode="auto">
          <a:xfrm flipH="1">
            <a:off x="945" y="421"/>
            <a:ext cx="0" cy="273"/>
          </a:xfrm>
          <a:prstGeom prst="line">
            <a:avLst/>
          </a:prstGeom>
          <a:noFill/>
          <a:ln w="38100">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1" name="Line 2"/>
          <xdr:cNvSpPr>
            <a:spLocks noChangeShapeType="1"/>
          </xdr:cNvSpPr>
        </xdr:nvSpPr>
        <xdr:spPr bwMode="auto">
          <a:xfrm flipH="1">
            <a:off x="945" y="558"/>
            <a:ext cx="19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Line 6"/>
          <xdr:cNvSpPr>
            <a:spLocks noChangeShapeType="1"/>
          </xdr:cNvSpPr>
        </xdr:nvSpPr>
        <xdr:spPr bwMode="auto">
          <a:xfrm flipH="1" flipV="1">
            <a:off x="850" y="370"/>
            <a:ext cx="286" cy="18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7"/>
          <xdr:cNvSpPr>
            <a:spLocks noChangeShapeType="1"/>
          </xdr:cNvSpPr>
        </xdr:nvSpPr>
        <xdr:spPr bwMode="auto">
          <a:xfrm flipH="1">
            <a:off x="944" y="558"/>
            <a:ext cx="193" cy="1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4" name="Oval 8"/>
          <xdr:cNvSpPr>
            <a:spLocks noChangeArrowheads="1"/>
          </xdr:cNvSpPr>
        </xdr:nvSpPr>
        <xdr:spPr bwMode="auto">
          <a:xfrm flipH="1">
            <a:off x="1139" y="491"/>
            <a:ext cx="19" cy="141"/>
          </a:xfrm>
          <a:prstGeom prst="ellipse">
            <a:avLst/>
          </a:prstGeom>
          <a:solidFill>
            <a:srgbClr val="FFFFFF"/>
          </a:solidFill>
          <a:ln w="9525">
            <a:solidFill>
              <a:srgbClr val="000000"/>
            </a:solidFill>
            <a:round/>
            <a:headEnd/>
            <a:tailEnd/>
          </a:ln>
        </xdr:spPr>
      </xdr:sp>
      <xdr:sp macro="" textlink="">
        <xdr:nvSpPr>
          <xdr:cNvPr id="85" name="Line 12"/>
          <xdr:cNvSpPr>
            <a:spLocks noChangeShapeType="1"/>
          </xdr:cNvSpPr>
        </xdr:nvSpPr>
        <xdr:spPr bwMode="auto">
          <a:xfrm flipH="1">
            <a:off x="946" y="647"/>
            <a:ext cx="42" cy="0"/>
          </a:xfrm>
          <a:prstGeom prst="line">
            <a:avLst/>
          </a:prstGeom>
          <a:noFill/>
          <a:ln w="9525">
            <a:solidFill>
              <a:srgbClr val="FF0000"/>
            </a:solidFill>
            <a:round/>
            <a:headEnd type="triangle" w="med" len="med"/>
            <a:tailEnd/>
          </a:ln>
          <a:extLst>
            <a:ext uri="{909E8E84-426E-40DD-AFC4-6F175D3DCCD1}">
              <a14:hiddenFill xmlns:a14="http://schemas.microsoft.com/office/drawing/2010/main">
                <a:noFill/>
              </a14:hiddenFill>
            </a:ext>
          </a:extLst>
        </xdr:spPr>
      </xdr:sp>
      <xdr:sp macro="" textlink="">
        <xdr:nvSpPr>
          <xdr:cNvPr id="86" name="Line 13"/>
          <xdr:cNvSpPr>
            <a:spLocks noChangeShapeType="1"/>
          </xdr:cNvSpPr>
        </xdr:nvSpPr>
        <xdr:spPr bwMode="auto">
          <a:xfrm flipH="1">
            <a:off x="882" y="431"/>
            <a:ext cx="60" cy="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87" name="Line 17"/>
          <xdr:cNvSpPr>
            <a:spLocks noChangeShapeType="1"/>
          </xdr:cNvSpPr>
        </xdr:nvSpPr>
        <xdr:spPr bwMode="auto">
          <a:xfrm flipH="1">
            <a:off x="942" y="617"/>
            <a:ext cx="30" cy="0"/>
          </a:xfrm>
          <a:prstGeom prst="line">
            <a:avLst/>
          </a:prstGeom>
          <a:noFill/>
          <a:ln w="9525">
            <a:solidFill>
              <a:srgbClr val="FF0000"/>
            </a:solidFill>
            <a:round/>
            <a:headEnd type="triangle" w="med" len="med"/>
            <a:tailEnd/>
          </a:ln>
          <a:extLst>
            <a:ext uri="{909E8E84-426E-40DD-AFC4-6F175D3DCCD1}">
              <a14:hiddenFill xmlns:a14="http://schemas.microsoft.com/office/drawing/2010/main">
                <a:noFill/>
              </a14:hiddenFill>
            </a:ext>
          </a:extLst>
        </xdr:spPr>
      </xdr:sp>
      <xdr:sp macro="" textlink="">
        <xdr:nvSpPr>
          <xdr:cNvPr id="88" name="Line 18"/>
          <xdr:cNvSpPr>
            <a:spLocks noChangeShapeType="1"/>
          </xdr:cNvSpPr>
        </xdr:nvSpPr>
        <xdr:spPr bwMode="auto">
          <a:xfrm flipH="1">
            <a:off x="904" y="476"/>
            <a:ext cx="40" cy="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600075</xdr:colOff>
      <xdr:row>49</xdr:row>
      <xdr:rowOff>114300</xdr:rowOff>
    </xdr:from>
    <xdr:to>
      <xdr:col>4</xdr:col>
      <xdr:colOff>333375</xdr:colOff>
      <xdr:row>53</xdr:row>
      <xdr:rowOff>66675</xdr:rowOff>
    </xdr:to>
    <xdr:grpSp>
      <xdr:nvGrpSpPr>
        <xdr:cNvPr id="2" name="Group 19"/>
        <xdr:cNvGrpSpPr>
          <a:grpSpLocks/>
        </xdr:cNvGrpSpPr>
      </xdr:nvGrpSpPr>
      <xdr:grpSpPr bwMode="auto">
        <a:xfrm>
          <a:off x="1362075" y="7893050"/>
          <a:ext cx="3384550" cy="587375"/>
          <a:chOff x="143" y="840"/>
          <a:chExt cx="335" cy="63"/>
        </a:xfrm>
      </xdr:grpSpPr>
      <xdr:sp macro="" textlink="">
        <xdr:nvSpPr>
          <xdr:cNvPr id="3" name="Line 11"/>
          <xdr:cNvSpPr>
            <a:spLocks noChangeShapeType="1"/>
          </xdr:cNvSpPr>
        </xdr:nvSpPr>
        <xdr:spPr bwMode="auto">
          <a:xfrm>
            <a:off x="183" y="872"/>
            <a:ext cx="29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Text Box 12"/>
          <xdr:cNvSpPr txBox="1">
            <a:spLocks noChangeArrowheads="1"/>
          </xdr:cNvSpPr>
        </xdr:nvSpPr>
        <xdr:spPr bwMode="auto">
          <a:xfrm>
            <a:off x="398" y="870"/>
            <a:ext cx="54" cy="23"/>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30 cm</a:t>
            </a:r>
          </a:p>
        </xdr:txBody>
      </xdr:sp>
      <xdr:sp macro="" textlink="">
        <xdr:nvSpPr>
          <xdr:cNvPr id="5" name="Line 13"/>
          <xdr:cNvSpPr>
            <a:spLocks noChangeShapeType="1"/>
          </xdr:cNvSpPr>
        </xdr:nvSpPr>
        <xdr:spPr bwMode="auto">
          <a:xfrm flipV="1">
            <a:off x="185" y="840"/>
            <a:ext cx="291"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14"/>
          <xdr:cNvSpPr>
            <a:spLocks noChangeShapeType="1"/>
          </xdr:cNvSpPr>
        </xdr:nvSpPr>
        <xdr:spPr bwMode="auto">
          <a:xfrm>
            <a:off x="187" y="872"/>
            <a:ext cx="290" cy="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15"/>
          <xdr:cNvSpPr>
            <a:spLocks noChangeShapeType="1"/>
          </xdr:cNvSpPr>
        </xdr:nvSpPr>
        <xdr:spPr bwMode="auto">
          <a:xfrm>
            <a:off x="478" y="840"/>
            <a:ext cx="0" cy="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Text Box 16"/>
          <xdr:cNvSpPr txBox="1">
            <a:spLocks noChangeArrowheads="1"/>
          </xdr:cNvSpPr>
        </xdr:nvSpPr>
        <xdr:spPr bwMode="auto">
          <a:xfrm>
            <a:off x="143" y="862"/>
            <a:ext cx="54" cy="23"/>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Auge</a:t>
            </a:r>
          </a:p>
        </xdr:txBody>
      </xdr:sp>
      <xdr:sp macro="" textlink="">
        <xdr:nvSpPr>
          <xdr:cNvPr id="9" name="Line 17"/>
          <xdr:cNvSpPr>
            <a:spLocks noChangeShapeType="1"/>
          </xdr:cNvSpPr>
        </xdr:nvSpPr>
        <xdr:spPr bwMode="auto">
          <a:xfrm>
            <a:off x="478" y="840"/>
            <a:ext cx="0" cy="32"/>
          </a:xfrm>
          <a:prstGeom prst="line">
            <a:avLst/>
          </a:prstGeom>
          <a:noFill/>
          <a:ln w="571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0" name="Text Box 18"/>
          <xdr:cNvSpPr txBox="1">
            <a:spLocks noChangeArrowheads="1"/>
          </xdr:cNvSpPr>
        </xdr:nvSpPr>
        <xdr:spPr bwMode="auto">
          <a:xfrm>
            <a:off x="316" y="857"/>
            <a:ext cx="76" cy="23"/>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1/120 Grad</a:t>
            </a:r>
          </a:p>
        </xdr:txBody>
      </xdr:sp>
    </xdr:grpSp>
    <xdr:clientData/>
  </xdr:twoCellAnchor>
  <xdr:twoCellAnchor>
    <xdr:from>
      <xdr:col>1</xdr:col>
      <xdr:colOff>342900</xdr:colOff>
      <xdr:row>5</xdr:row>
      <xdr:rowOff>114300</xdr:rowOff>
    </xdr:from>
    <xdr:to>
      <xdr:col>6</xdr:col>
      <xdr:colOff>0</xdr:colOff>
      <xdr:row>16</xdr:row>
      <xdr:rowOff>104775</xdr:rowOff>
    </xdr:to>
    <xdr:grpSp>
      <xdr:nvGrpSpPr>
        <xdr:cNvPr id="11" name="Group 22"/>
        <xdr:cNvGrpSpPr>
          <a:grpSpLocks/>
        </xdr:cNvGrpSpPr>
      </xdr:nvGrpSpPr>
      <xdr:grpSpPr bwMode="auto">
        <a:xfrm>
          <a:off x="1104900" y="908050"/>
          <a:ext cx="4832350" cy="1736725"/>
          <a:chOff x="112" y="150"/>
          <a:chExt cx="487" cy="186"/>
        </a:xfrm>
      </xdr:grpSpPr>
      <xdr:grpSp>
        <xdr:nvGrpSpPr>
          <xdr:cNvPr id="12" name="Group 1"/>
          <xdr:cNvGrpSpPr>
            <a:grpSpLocks/>
          </xdr:cNvGrpSpPr>
        </xdr:nvGrpSpPr>
        <xdr:grpSpPr bwMode="auto">
          <a:xfrm>
            <a:off x="112" y="190"/>
            <a:ext cx="486" cy="146"/>
            <a:chOff x="112" y="190"/>
            <a:chExt cx="363" cy="146"/>
          </a:xfrm>
        </xdr:grpSpPr>
        <xdr:sp macro="" textlink="">
          <xdr:nvSpPr>
            <xdr:cNvPr id="15" name="Line 2"/>
            <xdr:cNvSpPr>
              <a:spLocks noChangeShapeType="1"/>
            </xdr:cNvSpPr>
          </xdr:nvSpPr>
          <xdr:spPr bwMode="auto">
            <a:xfrm flipV="1">
              <a:off x="147" y="192"/>
              <a:ext cx="253" cy="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
            <xdr:cNvSpPr>
              <a:spLocks noChangeShapeType="1"/>
            </xdr:cNvSpPr>
          </xdr:nvSpPr>
          <xdr:spPr bwMode="auto">
            <a:xfrm>
              <a:off x="146" y="238"/>
              <a:ext cx="254" cy="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4"/>
            <xdr:cNvSpPr>
              <a:spLocks noChangeShapeType="1"/>
            </xdr:cNvSpPr>
          </xdr:nvSpPr>
          <xdr:spPr bwMode="auto">
            <a:xfrm flipH="1">
              <a:off x="146" y="237"/>
              <a:ext cx="252"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8" name="Text Box 5"/>
            <xdr:cNvSpPr txBox="1">
              <a:spLocks noChangeArrowheads="1"/>
            </xdr:cNvSpPr>
          </xdr:nvSpPr>
          <xdr:spPr bwMode="auto">
            <a:xfrm>
              <a:off x="224" y="220"/>
              <a:ext cx="96"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1/120 Grad</a:t>
              </a:r>
            </a:p>
          </xdr:txBody>
        </xdr:sp>
        <xdr:sp macro="" textlink="">
          <xdr:nvSpPr>
            <xdr:cNvPr id="19" name="Line 6"/>
            <xdr:cNvSpPr>
              <a:spLocks noChangeShapeType="1"/>
            </xdr:cNvSpPr>
          </xdr:nvSpPr>
          <xdr:spPr bwMode="auto">
            <a:xfrm>
              <a:off x="409" y="190"/>
              <a:ext cx="0" cy="47"/>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Text Box 7"/>
            <xdr:cNvSpPr txBox="1">
              <a:spLocks noChangeArrowheads="1"/>
            </xdr:cNvSpPr>
          </xdr:nvSpPr>
          <xdr:spPr bwMode="auto">
            <a:xfrm>
              <a:off x="417" y="200"/>
              <a:ext cx="58" cy="3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FFFFFF"/>
                  </a:solidFill>
                  <a:latin typeface="Arial"/>
                  <a:cs typeface="Arial"/>
                </a:rPr>
                <a:t>halbe </a:t>
              </a:r>
            </a:p>
            <a:p>
              <a:pPr algn="l" rtl="0">
                <a:defRPr sz="1000"/>
              </a:pPr>
              <a:r>
                <a:rPr lang="de-DE" sz="800" b="0" i="0" strike="noStrike">
                  <a:solidFill>
                    <a:srgbClr val="FFFFFF"/>
                  </a:solidFill>
                  <a:latin typeface="Arial"/>
                  <a:cs typeface="Arial"/>
                </a:rPr>
                <a:t>Pixelbreite</a:t>
              </a:r>
            </a:p>
          </xdr:txBody>
        </xdr:sp>
        <xdr:sp macro="" textlink="">
          <xdr:nvSpPr>
            <xdr:cNvPr id="21" name="Text Box 8"/>
            <xdr:cNvSpPr txBox="1">
              <a:spLocks noChangeArrowheads="1"/>
            </xdr:cNvSpPr>
          </xdr:nvSpPr>
          <xdr:spPr bwMode="auto">
            <a:xfrm>
              <a:off x="112" y="229"/>
              <a:ext cx="46"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Auge</a:t>
              </a:r>
            </a:p>
          </xdr:txBody>
        </xdr:sp>
        <xdr:sp macro="" textlink="">
          <xdr:nvSpPr>
            <xdr:cNvPr id="22" name="Line 9"/>
            <xdr:cNvSpPr>
              <a:spLocks noChangeShapeType="1"/>
            </xdr:cNvSpPr>
          </xdr:nvSpPr>
          <xdr:spPr bwMode="auto">
            <a:xfrm flipH="1">
              <a:off x="148" y="336"/>
              <a:ext cx="252"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23" name="Text Box 10"/>
            <xdr:cNvSpPr txBox="1">
              <a:spLocks noChangeArrowheads="1"/>
            </xdr:cNvSpPr>
          </xdr:nvSpPr>
          <xdr:spPr bwMode="auto">
            <a:xfrm>
              <a:off x="207" y="317"/>
              <a:ext cx="114" cy="18"/>
            </a:xfrm>
            <a:prstGeom prst="rect">
              <a:avLst/>
            </a:prstGeom>
            <a:no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Betrachtungsabstand</a:t>
              </a:r>
            </a:p>
          </xdr:txBody>
        </xdr:sp>
      </xdr:grpSp>
      <xdr:sp macro="" textlink="">
        <xdr:nvSpPr>
          <xdr:cNvPr id="13" name="Rectangle 20"/>
          <xdr:cNvSpPr>
            <a:spLocks noChangeArrowheads="1"/>
          </xdr:cNvSpPr>
        </xdr:nvSpPr>
        <xdr:spPr bwMode="auto">
          <a:xfrm>
            <a:off x="513" y="150"/>
            <a:ext cx="86" cy="86"/>
          </a:xfrm>
          <a:prstGeom prst="rect">
            <a:avLst/>
          </a:prstGeom>
          <a:solidFill>
            <a:srgbClr val="FF0000"/>
          </a:solidFill>
          <a:ln w="9525">
            <a:solidFill>
              <a:srgbClr val="000000"/>
            </a:solidFill>
            <a:miter lim="800000"/>
            <a:headEnd/>
            <a:tailEnd/>
          </a:ln>
        </xdr:spPr>
      </xdr:sp>
      <xdr:sp macro="" textlink="">
        <xdr:nvSpPr>
          <xdr:cNvPr id="14" name="Rectangle 21"/>
          <xdr:cNvSpPr>
            <a:spLocks noChangeArrowheads="1"/>
          </xdr:cNvSpPr>
        </xdr:nvSpPr>
        <xdr:spPr bwMode="auto">
          <a:xfrm>
            <a:off x="513" y="237"/>
            <a:ext cx="86" cy="86"/>
          </a:xfrm>
          <a:prstGeom prst="rect">
            <a:avLst/>
          </a:prstGeom>
          <a:solidFill>
            <a:srgbClr val="0000FF"/>
          </a:solidFill>
          <a:ln w="9525">
            <a:solidFill>
              <a:srgbClr val="000000"/>
            </a:solidFill>
            <a:miter lim="800000"/>
            <a:headEnd/>
            <a:tailEnd/>
          </a:ln>
        </xdr:spPr>
      </xdr:sp>
    </xdr:grpSp>
    <xdr:clientData/>
  </xdr:twoCellAnchor>
  <xdr:twoCellAnchor editAs="oneCell">
    <xdr:from>
      <xdr:col>7</xdr:col>
      <xdr:colOff>590550</xdr:colOff>
      <xdr:row>2</xdr:row>
      <xdr:rowOff>85725</xdr:rowOff>
    </xdr:from>
    <xdr:to>
      <xdr:col>12</xdr:col>
      <xdr:colOff>228600</xdr:colOff>
      <xdr:row>20</xdr:row>
      <xdr:rowOff>104775</xdr:rowOff>
    </xdr:to>
    <xdr:pic>
      <xdr:nvPicPr>
        <xdr:cNvPr id="24" name="Grafik 23" descr="TV_opt_Betrachtungsabstand.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409575"/>
          <a:ext cx="344805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621909</xdr:colOff>
      <xdr:row>21</xdr:row>
      <xdr:rowOff>69118</xdr:rowOff>
    </xdr:from>
    <xdr:to>
      <xdr:col>12</xdr:col>
      <xdr:colOff>511968</xdr:colOff>
      <xdr:row>42</xdr:row>
      <xdr:rowOff>154781</xdr:rowOff>
    </xdr:to>
    <xdr:sp macro="" textlink="">
      <xdr:nvSpPr>
        <xdr:cNvPr id="25" name="Textfeld 24"/>
        <xdr:cNvSpPr txBox="1"/>
      </xdr:nvSpPr>
      <xdr:spPr>
        <a:xfrm>
          <a:off x="7317984" y="3469543"/>
          <a:ext cx="3700059" cy="3486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www.biokurs.de</a:t>
          </a:r>
        </a:p>
        <a:p>
          <a:r>
            <a:rPr lang="de-DE" sz="1100"/>
            <a:t>www.uni-protokolle.de</a:t>
          </a:r>
        </a:p>
        <a:p>
          <a:endParaRPr lang="de-DE" sz="1100"/>
        </a:p>
        <a:p>
          <a:endParaRPr lang="de-DE" sz="1100"/>
        </a:p>
        <a:p>
          <a:r>
            <a:rPr lang="de-DE" sz="1100"/>
            <a:t>Das Auflösungsvermögen des bloßen Auges beträgt unter idealen Bedingungen etwa 1' (Winkelminute, entsprechend 1 mm auf 3,5 Meter). Es wird durch den Abstand der Sehzellen in der Netzhautgrube der Stelle schärfsten Sehens bestimmt.</a:t>
          </a:r>
        </a:p>
        <a:p>
          <a:endParaRPr lang="de-DE" sz="1100"/>
        </a:p>
        <a:p>
          <a:r>
            <a:rPr lang="de-DE" sz="1100"/>
            <a:t>Bei durchschnittlichen Verhältnissen sind zwei Punkte getrennt wahrnehmbar wenn ihr Winkelabstand 2' beträgt. Bei schwachen Objekten und zum Rand des Gesichtsfeldes hin nimmt die Sehschärfe jedoch merklich ab.</a:t>
          </a:r>
        </a:p>
        <a:p>
          <a:endParaRPr lang="de-DE" sz="1100"/>
        </a:p>
        <a:p>
          <a:r>
            <a:rPr lang="de-DE" sz="1100"/>
            <a:t>Demgegenüber ist die Erkennbarkeit feiner Strukturen höher. Sie kann z.B. bei Linien unter gutem Kontrast 10-20" (Winkelsekunden) erreichen, was mit der Bildverarbeitung im Gehirn zusammenhängt. </a:t>
          </a:r>
        </a:p>
      </xdr:txBody>
    </xdr:sp>
    <xdr:clientData/>
  </xdr:twoCellAnchor>
  <xdr:twoCellAnchor>
    <xdr:from>
      <xdr:col>1</xdr:col>
      <xdr:colOff>276225</xdr:colOff>
      <xdr:row>101</xdr:row>
      <xdr:rowOff>130969</xdr:rowOff>
    </xdr:from>
    <xdr:to>
      <xdr:col>4</xdr:col>
      <xdr:colOff>415637</xdr:colOff>
      <xdr:row>113</xdr:row>
      <xdr:rowOff>9527</xdr:rowOff>
    </xdr:to>
    <xdr:sp macro="" textlink="">
      <xdr:nvSpPr>
        <xdr:cNvPr id="26" name="Rechteck 1"/>
        <xdr:cNvSpPr>
          <a:spLocks noChangeArrowheads="1"/>
        </xdr:cNvSpPr>
      </xdr:nvSpPr>
      <xdr:spPr bwMode="auto">
        <a:xfrm>
          <a:off x="1038225" y="16485394"/>
          <a:ext cx="3787487" cy="1821658"/>
        </a:xfrm>
        <a:prstGeom prst="rect">
          <a:avLst/>
        </a:prstGeom>
        <a:solidFill>
          <a:srgbClr val="FFFFFF"/>
        </a:solidFill>
        <a:ln w="9525" algn="ctr">
          <a:solidFill>
            <a:srgbClr val="000000"/>
          </a:solidFill>
          <a:round/>
          <a:headEnd/>
          <a:tailEnd/>
        </a:ln>
      </xdr:spPr>
    </xdr:sp>
    <xdr:clientData/>
  </xdr:twoCellAnchor>
  <xdr:twoCellAnchor>
    <xdr:from>
      <xdr:col>1</xdr:col>
      <xdr:colOff>266700</xdr:colOff>
      <xdr:row>101</xdr:row>
      <xdr:rowOff>155864</xdr:rowOff>
    </xdr:from>
    <xdr:to>
      <xdr:col>4</xdr:col>
      <xdr:colOff>714374</xdr:colOff>
      <xdr:row>113</xdr:row>
      <xdr:rowOff>59533</xdr:rowOff>
    </xdr:to>
    <xdr:grpSp>
      <xdr:nvGrpSpPr>
        <xdr:cNvPr id="27" name="Gruppieren 26"/>
        <xdr:cNvGrpSpPr/>
      </xdr:nvGrpSpPr>
      <xdr:grpSpPr>
        <a:xfrm>
          <a:off x="1028700" y="16189614"/>
          <a:ext cx="4098924" cy="1808669"/>
          <a:chOff x="13054013" y="1036908"/>
          <a:chExt cx="2995610" cy="1903937"/>
        </a:xfrm>
      </xdr:grpSpPr>
      <xdr:cxnSp macro="">
        <xdr:nvCxnSpPr>
          <xdr:cNvPr id="28" name="Gerade Verbindung 3"/>
          <xdr:cNvCxnSpPr>
            <a:cxnSpLocks noChangeShapeType="1"/>
          </xdr:cNvCxnSpPr>
        </xdr:nvCxnSpPr>
        <xdr:spPr bwMode="auto">
          <a:xfrm flipV="1">
            <a:off x="13054013" y="1036908"/>
            <a:ext cx="2764302" cy="185393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9" name="Textfeld 28"/>
          <xdr:cNvSpPr txBox="1"/>
        </xdr:nvSpPr>
        <xdr:spPr>
          <a:xfrm rot="20043165">
            <a:off x="13978660" y="1611745"/>
            <a:ext cx="685056" cy="316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46 Zoll</a:t>
            </a:r>
          </a:p>
        </xdr:txBody>
      </xdr:sp>
      <xdr:sp macro="" textlink="">
        <xdr:nvSpPr>
          <xdr:cNvPr id="30" name="Textfeld 29"/>
          <xdr:cNvSpPr txBox="1"/>
        </xdr:nvSpPr>
        <xdr:spPr>
          <a:xfrm>
            <a:off x="14889224" y="2677077"/>
            <a:ext cx="362682"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16</a:t>
            </a:r>
          </a:p>
        </xdr:txBody>
      </xdr:sp>
      <xdr:sp macro="" textlink="">
        <xdr:nvSpPr>
          <xdr:cNvPr id="31" name="Textfeld 30"/>
          <xdr:cNvSpPr txBox="1"/>
        </xdr:nvSpPr>
        <xdr:spPr>
          <a:xfrm>
            <a:off x="15665876" y="1627503"/>
            <a:ext cx="383747" cy="26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9</a:t>
            </a:r>
          </a:p>
        </xdr:txBody>
      </xdr:sp>
      <xdr:sp macro="" textlink="">
        <xdr:nvSpPr>
          <xdr:cNvPr id="32" name="Textfeld 31"/>
          <xdr:cNvSpPr txBox="1"/>
        </xdr:nvSpPr>
        <xdr:spPr>
          <a:xfrm>
            <a:off x="13748056" y="2301571"/>
            <a:ext cx="563257" cy="234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 18,36</a:t>
            </a:r>
          </a:p>
          <a:p>
            <a:endParaRPr lang="de-DE" sz="11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352425</xdr:colOff>
      <xdr:row>1</xdr:row>
      <xdr:rowOff>47625</xdr:rowOff>
    </xdr:from>
    <xdr:to>
      <xdr:col>7</xdr:col>
      <xdr:colOff>695325</xdr:colOff>
      <xdr:row>13</xdr:row>
      <xdr:rowOff>66675</xdr:rowOff>
    </xdr:to>
    <xdr:grpSp>
      <xdr:nvGrpSpPr>
        <xdr:cNvPr id="2" name="Group 25"/>
        <xdr:cNvGrpSpPr>
          <a:grpSpLocks/>
        </xdr:cNvGrpSpPr>
      </xdr:nvGrpSpPr>
      <xdr:grpSpPr bwMode="auto">
        <a:xfrm>
          <a:off x="352425" y="209550"/>
          <a:ext cx="7315200" cy="1962150"/>
          <a:chOff x="37" y="22"/>
          <a:chExt cx="768" cy="206"/>
        </a:xfrm>
      </xdr:grpSpPr>
      <xdr:sp macro="" textlink="">
        <xdr:nvSpPr>
          <xdr:cNvPr id="3" name="Line 1"/>
          <xdr:cNvSpPr>
            <a:spLocks noChangeShapeType="1"/>
          </xdr:cNvSpPr>
        </xdr:nvSpPr>
        <xdr:spPr bwMode="auto">
          <a:xfrm>
            <a:off x="198" y="22"/>
            <a:ext cx="0" cy="35"/>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
          <xdr:cNvSpPr>
            <a:spLocks noChangeShapeType="1"/>
          </xdr:cNvSpPr>
        </xdr:nvSpPr>
        <xdr:spPr bwMode="auto">
          <a:xfrm>
            <a:off x="199" y="193"/>
            <a:ext cx="0" cy="35"/>
          </a:xfrm>
          <a:prstGeom prst="line">
            <a:avLst/>
          </a:prstGeom>
          <a:noFill/>
          <a:ln w="76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5"/>
          <xdr:cNvSpPr>
            <a:spLocks noChangeShapeType="1"/>
          </xdr:cNvSpPr>
        </xdr:nvSpPr>
        <xdr:spPr bwMode="auto">
          <a:xfrm>
            <a:off x="94" y="124"/>
            <a:ext cx="71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6"/>
          <xdr:cNvSpPr>
            <a:spLocks noChangeShapeType="1"/>
          </xdr:cNvSpPr>
        </xdr:nvSpPr>
        <xdr:spPr bwMode="auto">
          <a:xfrm>
            <a:off x="198" y="55"/>
            <a:ext cx="581" cy="129"/>
          </a:xfrm>
          <a:prstGeom prst="line">
            <a:avLst/>
          </a:prstGeom>
          <a:noFill/>
          <a:ln w="9525">
            <a:solidFill>
              <a:srgbClr val="00CCFF"/>
            </a:solidFill>
            <a:round/>
            <a:headEnd/>
            <a:tailEnd/>
          </a:ln>
          <a:extLst>
            <a:ext uri="{909E8E84-426E-40DD-AFC4-6F175D3DCCD1}">
              <a14:hiddenFill xmlns:a14="http://schemas.microsoft.com/office/drawing/2010/main">
                <a:noFill/>
              </a14:hiddenFill>
            </a:ext>
          </a:extLst>
        </xdr:spPr>
      </xdr:sp>
      <xdr:sp macro="" textlink="">
        <xdr:nvSpPr>
          <xdr:cNvPr id="7" name="Line 7"/>
          <xdr:cNvSpPr>
            <a:spLocks noChangeShapeType="1"/>
          </xdr:cNvSpPr>
        </xdr:nvSpPr>
        <xdr:spPr bwMode="auto">
          <a:xfrm flipV="1">
            <a:off x="198" y="65"/>
            <a:ext cx="578" cy="127"/>
          </a:xfrm>
          <a:prstGeom prst="line">
            <a:avLst/>
          </a:prstGeom>
          <a:noFill/>
          <a:ln w="9525">
            <a:solidFill>
              <a:srgbClr val="00CCFF"/>
            </a:solidFill>
            <a:round/>
            <a:headEnd/>
            <a:tailEnd/>
          </a:ln>
          <a:extLst>
            <a:ext uri="{909E8E84-426E-40DD-AFC4-6F175D3DCCD1}">
              <a14:hiddenFill xmlns:a14="http://schemas.microsoft.com/office/drawing/2010/main">
                <a:noFill/>
              </a14:hiddenFill>
            </a:ext>
          </a:extLst>
        </xdr:spPr>
      </xdr:sp>
      <xdr:sp macro="" textlink="">
        <xdr:nvSpPr>
          <xdr:cNvPr id="8" name="Line 10"/>
          <xdr:cNvSpPr>
            <a:spLocks noChangeShapeType="1"/>
          </xdr:cNvSpPr>
        </xdr:nvSpPr>
        <xdr:spPr bwMode="auto">
          <a:xfrm>
            <a:off x="182" y="57"/>
            <a:ext cx="0" cy="132"/>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9" name="Text Box 11"/>
          <xdr:cNvSpPr txBox="1">
            <a:spLocks noChangeArrowheads="1"/>
          </xdr:cNvSpPr>
        </xdr:nvSpPr>
        <xdr:spPr bwMode="auto">
          <a:xfrm>
            <a:off x="37" y="74"/>
            <a:ext cx="141" cy="3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FF0000"/>
                </a:solidFill>
                <a:latin typeface="Arial"/>
                <a:cs typeface="Arial"/>
              </a:rPr>
              <a:t>Blenden-</a:t>
            </a:r>
          </a:p>
          <a:p>
            <a:pPr algn="l" rtl="0">
              <a:defRPr sz="1000"/>
            </a:pPr>
            <a:r>
              <a:rPr lang="de-DE" sz="1000" b="1" i="0" strike="noStrike">
                <a:solidFill>
                  <a:srgbClr val="FF0000"/>
                </a:solidFill>
                <a:latin typeface="Arial"/>
                <a:cs typeface="Arial"/>
              </a:rPr>
              <a:t>durchmesser d</a:t>
            </a:r>
          </a:p>
        </xdr:txBody>
      </xdr:sp>
      <xdr:sp macro="" textlink="">
        <xdr:nvSpPr>
          <xdr:cNvPr id="10" name="Line 12"/>
          <xdr:cNvSpPr>
            <a:spLocks noChangeShapeType="1"/>
          </xdr:cNvSpPr>
        </xdr:nvSpPr>
        <xdr:spPr bwMode="auto">
          <a:xfrm>
            <a:off x="198" y="159"/>
            <a:ext cx="311"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1" name="Text Box 13"/>
          <xdr:cNvSpPr txBox="1">
            <a:spLocks noChangeArrowheads="1"/>
          </xdr:cNvSpPr>
        </xdr:nvSpPr>
        <xdr:spPr bwMode="auto">
          <a:xfrm>
            <a:off x="364" y="162"/>
            <a:ext cx="111" cy="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FF0000"/>
                </a:solidFill>
                <a:latin typeface="Arial"/>
                <a:cs typeface="Arial"/>
              </a:rPr>
              <a:t>Bildweite a'</a:t>
            </a:r>
          </a:p>
        </xdr:txBody>
      </xdr:sp>
      <xdr:sp macro="" textlink="">
        <xdr:nvSpPr>
          <xdr:cNvPr id="12" name="Line 14"/>
          <xdr:cNvSpPr>
            <a:spLocks noChangeShapeType="1"/>
          </xdr:cNvSpPr>
        </xdr:nvSpPr>
        <xdr:spPr bwMode="auto">
          <a:xfrm>
            <a:off x="511" y="106"/>
            <a:ext cx="63" cy="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3" name="Line 15"/>
          <xdr:cNvSpPr>
            <a:spLocks noChangeShapeType="1"/>
          </xdr:cNvSpPr>
        </xdr:nvSpPr>
        <xdr:spPr bwMode="auto">
          <a:xfrm>
            <a:off x="446" y="94"/>
            <a:ext cx="63" cy="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4" name="Text Box 16"/>
          <xdr:cNvSpPr txBox="1">
            <a:spLocks noChangeArrowheads="1"/>
          </xdr:cNvSpPr>
        </xdr:nvSpPr>
        <xdr:spPr bwMode="auto">
          <a:xfrm>
            <a:off x="447" y="44"/>
            <a:ext cx="180" cy="3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FF0000"/>
                </a:solidFill>
                <a:latin typeface="Arial"/>
                <a:cs typeface="Arial"/>
              </a:rPr>
              <a:t>Abstand vor und</a:t>
            </a:r>
          </a:p>
          <a:p>
            <a:pPr algn="l" rtl="0">
              <a:defRPr sz="1000"/>
            </a:pPr>
            <a:r>
              <a:rPr lang="de-DE" sz="1000" b="1" i="0" strike="noStrike">
                <a:solidFill>
                  <a:srgbClr val="FF0000"/>
                </a:solidFill>
                <a:latin typeface="Arial"/>
                <a:cs typeface="Arial"/>
              </a:rPr>
              <a:t>hinter dem Bildpunkt</a:t>
            </a:r>
          </a:p>
        </xdr:txBody>
      </xdr:sp>
      <xdr:sp macro="" textlink="">
        <xdr:nvSpPr>
          <xdr:cNvPr id="15" name="Line 17"/>
          <xdr:cNvSpPr>
            <a:spLocks noChangeShapeType="1"/>
          </xdr:cNvSpPr>
        </xdr:nvSpPr>
        <xdr:spPr bwMode="auto">
          <a:xfrm>
            <a:off x="578" y="110"/>
            <a:ext cx="0" cy="3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6" name="Text Box 18"/>
          <xdr:cNvSpPr txBox="1">
            <a:spLocks noChangeArrowheads="1"/>
          </xdr:cNvSpPr>
        </xdr:nvSpPr>
        <xdr:spPr bwMode="auto">
          <a:xfrm>
            <a:off x="596" y="106"/>
            <a:ext cx="175" cy="3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0000FF"/>
                </a:solidFill>
                <a:latin typeface="Arial"/>
                <a:cs typeface="Arial"/>
              </a:rPr>
              <a:t>Zerstreuungskreis-</a:t>
            </a:r>
          </a:p>
          <a:p>
            <a:pPr algn="l" rtl="0">
              <a:defRPr sz="1000"/>
            </a:pPr>
            <a:r>
              <a:rPr lang="de-DE" sz="1000" b="1" i="0" strike="noStrike">
                <a:solidFill>
                  <a:srgbClr val="0000FF"/>
                </a:solidFill>
                <a:latin typeface="Arial"/>
                <a:cs typeface="Arial"/>
              </a:rPr>
              <a:t>durchmesser</a:t>
            </a:r>
          </a:p>
        </xdr:txBody>
      </xdr:sp>
      <xdr:sp macro="" textlink="">
        <xdr:nvSpPr>
          <xdr:cNvPr id="17" name="Line 24"/>
          <xdr:cNvSpPr>
            <a:spLocks noChangeShapeType="1"/>
          </xdr:cNvSpPr>
        </xdr:nvSpPr>
        <xdr:spPr bwMode="auto">
          <a:xfrm>
            <a:off x="441" y="110"/>
            <a:ext cx="0" cy="3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190500</xdr:colOff>
      <xdr:row>17</xdr:row>
      <xdr:rowOff>76200</xdr:rowOff>
    </xdr:from>
    <xdr:to>
      <xdr:col>14</xdr:col>
      <xdr:colOff>190500</xdr:colOff>
      <xdr:row>34</xdr:row>
      <xdr:rowOff>76200</xdr:rowOff>
    </xdr:to>
    <xdr:sp macro="" textlink="">
      <xdr:nvSpPr>
        <xdr:cNvPr id="18" name="Textfeld 17"/>
        <xdr:cNvSpPr txBox="1"/>
      </xdr:nvSpPr>
      <xdr:spPr>
        <a:xfrm>
          <a:off x="7924800" y="2857500"/>
          <a:ext cx="6248400" cy="275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www.biokurs.de</a:t>
          </a:r>
        </a:p>
        <a:p>
          <a:r>
            <a:rPr lang="de-DE" sz="1100"/>
            <a:t>www.uni-protokolle.de</a:t>
          </a:r>
        </a:p>
        <a:p>
          <a:endParaRPr lang="de-DE" sz="1100"/>
        </a:p>
        <a:p>
          <a:endParaRPr lang="de-DE" sz="1100"/>
        </a:p>
        <a:p>
          <a:r>
            <a:rPr lang="de-DE" sz="1100"/>
            <a:t>Das Auflösungsvermögen des bloßen Auges beträgt unter idealen Bedingungen etwa 1' (Winkelminute, entsprechend 1 mm auf 3,5 Meter). Es wird durch den Abstand der Sehzellen in der Netzhautgrube der Stelle schärfsten Sehens bestimmt.</a:t>
          </a:r>
        </a:p>
        <a:p>
          <a:endParaRPr lang="de-DE" sz="1100"/>
        </a:p>
        <a:p>
          <a:r>
            <a:rPr lang="de-DE" sz="1100"/>
            <a:t>Bei durchschnittlichen Verhältnissen sind zwei Punkte getrennt wahrnehmbar wenn ihr Winkelabstand 2' beträgt. Bei schwachen Objekten und zum Rand des Gesichtsfeldes hin nimmt die Sehschärfe jedoch merklich ab.</a:t>
          </a:r>
        </a:p>
        <a:p>
          <a:endParaRPr lang="de-DE" sz="1100"/>
        </a:p>
        <a:p>
          <a:r>
            <a:rPr lang="de-DE" sz="1100"/>
            <a:t>Demgegenüber ist die Erkennbarkeit feiner Strukturen höher. Sie kann z.B. bei Linien unter gutem Kontrast 10-20" (Winkelsekunden) erreichen, was mit der Bildverarbeitung im Gehirn zusammenhängt. </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471488</xdr:colOff>
      <xdr:row>6</xdr:row>
      <xdr:rowOff>95251</xdr:rowOff>
    </xdr:from>
    <xdr:to>
      <xdr:col>4</xdr:col>
      <xdr:colOff>273843</xdr:colOff>
      <xdr:row>19</xdr:row>
      <xdr:rowOff>84668</xdr:rowOff>
    </xdr:to>
    <xdr:grpSp>
      <xdr:nvGrpSpPr>
        <xdr:cNvPr id="2" name="Gruppieren 6"/>
        <xdr:cNvGrpSpPr>
          <a:grpSpLocks/>
        </xdr:cNvGrpSpPr>
      </xdr:nvGrpSpPr>
      <xdr:grpSpPr bwMode="auto">
        <a:xfrm>
          <a:off x="746655" y="1090084"/>
          <a:ext cx="4067438" cy="2053167"/>
          <a:chOff x="3762375" y="12177712"/>
          <a:chExt cx="3509961" cy="1706563"/>
        </a:xfrm>
      </xdr:grpSpPr>
      <xdr:grpSp>
        <xdr:nvGrpSpPr>
          <xdr:cNvPr id="3" name="Gruppieren 7"/>
          <xdr:cNvGrpSpPr>
            <a:grpSpLocks/>
          </xdr:cNvGrpSpPr>
        </xdr:nvGrpSpPr>
        <xdr:grpSpPr bwMode="auto">
          <a:xfrm>
            <a:off x="5841999" y="12525375"/>
            <a:ext cx="285751" cy="492125"/>
            <a:chOff x="5754687" y="12684125"/>
            <a:chExt cx="285751" cy="492125"/>
          </a:xfrm>
        </xdr:grpSpPr>
        <xdr:sp macro="" textlink="">
          <xdr:nvSpPr>
            <xdr:cNvPr id="13" name="Ellipse 17"/>
            <xdr:cNvSpPr>
              <a:spLocks noChangeArrowheads="1"/>
            </xdr:cNvSpPr>
          </xdr:nvSpPr>
          <xdr:spPr bwMode="auto">
            <a:xfrm>
              <a:off x="5818188" y="12684125"/>
              <a:ext cx="222250" cy="492125"/>
            </a:xfrm>
            <a:prstGeom prst="ellipse">
              <a:avLst/>
            </a:prstGeom>
            <a:solidFill>
              <a:srgbClr val="FFFFFF"/>
            </a:solidFill>
            <a:ln w="9525" algn="ctr">
              <a:solidFill>
                <a:srgbClr val="000000"/>
              </a:solidFill>
              <a:round/>
              <a:headEnd/>
              <a:tailEnd/>
            </a:ln>
          </xdr:spPr>
        </xdr:sp>
        <xdr:sp macro="" textlink="">
          <xdr:nvSpPr>
            <xdr:cNvPr id="14" name="Ellipse 18"/>
            <xdr:cNvSpPr>
              <a:spLocks noChangeArrowheads="1"/>
            </xdr:cNvSpPr>
          </xdr:nvSpPr>
          <xdr:spPr bwMode="auto">
            <a:xfrm>
              <a:off x="5754687" y="12850813"/>
              <a:ext cx="254000" cy="174625"/>
            </a:xfrm>
            <a:prstGeom prst="ellipse">
              <a:avLst/>
            </a:prstGeom>
            <a:solidFill>
              <a:srgbClr val="FFFFFF"/>
            </a:solidFill>
            <a:ln w="9525" algn="ctr">
              <a:solidFill>
                <a:srgbClr val="000000"/>
              </a:solidFill>
              <a:round/>
              <a:headEnd/>
              <a:tailEnd/>
            </a:ln>
          </xdr:spPr>
        </xdr:sp>
      </xdr:grpSp>
      <xdr:grpSp>
        <xdr:nvGrpSpPr>
          <xdr:cNvPr id="4" name="Gruppieren 8"/>
          <xdr:cNvGrpSpPr>
            <a:grpSpLocks/>
          </xdr:cNvGrpSpPr>
        </xdr:nvGrpSpPr>
        <xdr:grpSpPr bwMode="auto">
          <a:xfrm>
            <a:off x="6954837" y="13058775"/>
            <a:ext cx="285751" cy="492125"/>
            <a:chOff x="5754687" y="12684125"/>
            <a:chExt cx="285751" cy="492125"/>
          </a:xfrm>
        </xdr:grpSpPr>
        <xdr:sp macro="" textlink="">
          <xdr:nvSpPr>
            <xdr:cNvPr id="11" name="Ellipse 15"/>
            <xdr:cNvSpPr>
              <a:spLocks noChangeArrowheads="1"/>
            </xdr:cNvSpPr>
          </xdr:nvSpPr>
          <xdr:spPr bwMode="auto">
            <a:xfrm>
              <a:off x="5818188" y="12684125"/>
              <a:ext cx="222250" cy="492125"/>
            </a:xfrm>
            <a:prstGeom prst="ellipse">
              <a:avLst/>
            </a:prstGeom>
            <a:solidFill>
              <a:srgbClr val="FFFFFF"/>
            </a:solidFill>
            <a:ln w="9525" algn="ctr">
              <a:solidFill>
                <a:srgbClr val="000000"/>
              </a:solidFill>
              <a:round/>
              <a:headEnd/>
              <a:tailEnd/>
            </a:ln>
          </xdr:spPr>
        </xdr:sp>
        <xdr:sp macro="" textlink="">
          <xdr:nvSpPr>
            <xdr:cNvPr id="12" name="Ellipse 16"/>
            <xdr:cNvSpPr>
              <a:spLocks noChangeArrowheads="1"/>
            </xdr:cNvSpPr>
          </xdr:nvSpPr>
          <xdr:spPr bwMode="auto">
            <a:xfrm>
              <a:off x="5754687" y="12850813"/>
              <a:ext cx="254000" cy="174625"/>
            </a:xfrm>
            <a:prstGeom prst="ellipse">
              <a:avLst/>
            </a:prstGeom>
            <a:solidFill>
              <a:srgbClr val="FFFFFF"/>
            </a:solidFill>
            <a:ln w="9525" algn="ctr">
              <a:solidFill>
                <a:srgbClr val="000000"/>
              </a:solidFill>
              <a:round/>
              <a:headEnd/>
              <a:tailEnd/>
            </a:ln>
          </xdr:spPr>
        </xdr:sp>
      </xdr:grpSp>
      <xdr:grpSp>
        <xdr:nvGrpSpPr>
          <xdr:cNvPr id="5" name="Gruppieren 9"/>
          <xdr:cNvGrpSpPr>
            <a:grpSpLocks/>
          </xdr:cNvGrpSpPr>
        </xdr:nvGrpSpPr>
        <xdr:grpSpPr bwMode="auto">
          <a:xfrm>
            <a:off x="3762375" y="13025438"/>
            <a:ext cx="501650" cy="484187"/>
            <a:chOff x="3563938" y="13073063"/>
            <a:chExt cx="501650" cy="484187"/>
          </a:xfrm>
        </xdr:grpSpPr>
        <xdr:sp macro="" textlink="">
          <xdr:nvSpPr>
            <xdr:cNvPr id="9" name="Rechteck 13"/>
            <xdr:cNvSpPr>
              <a:spLocks noChangeArrowheads="1"/>
            </xdr:cNvSpPr>
          </xdr:nvSpPr>
          <xdr:spPr bwMode="auto">
            <a:xfrm>
              <a:off x="3563938" y="13073063"/>
              <a:ext cx="254000" cy="484187"/>
            </a:xfrm>
            <a:prstGeom prst="rect">
              <a:avLst/>
            </a:prstGeom>
            <a:solidFill>
              <a:srgbClr val="FFFFFF"/>
            </a:solidFill>
            <a:ln w="9525" algn="ctr">
              <a:solidFill>
                <a:srgbClr val="000000"/>
              </a:solidFill>
              <a:round/>
              <a:headEnd/>
              <a:tailEnd/>
            </a:ln>
          </xdr:spPr>
        </xdr:sp>
        <xdr:sp macro="" textlink="">
          <xdr:nvSpPr>
            <xdr:cNvPr id="10" name="Rechteck 14"/>
            <xdr:cNvSpPr>
              <a:spLocks noChangeArrowheads="1"/>
            </xdr:cNvSpPr>
          </xdr:nvSpPr>
          <xdr:spPr bwMode="auto">
            <a:xfrm>
              <a:off x="3811588" y="13247688"/>
              <a:ext cx="254000" cy="136525"/>
            </a:xfrm>
            <a:prstGeom prst="rect">
              <a:avLst/>
            </a:prstGeom>
            <a:solidFill>
              <a:srgbClr val="FFFFFF"/>
            </a:solidFill>
            <a:ln w="9525" algn="ctr">
              <a:solidFill>
                <a:srgbClr val="000000"/>
              </a:solidFill>
              <a:round/>
              <a:headEnd/>
              <a:tailEnd/>
            </a:ln>
          </xdr:spPr>
        </xdr:sp>
      </xdr:grpSp>
      <xdr:cxnSp macro="">
        <xdr:nvCxnSpPr>
          <xdr:cNvPr id="6" name="Gerade Verbindung 10"/>
          <xdr:cNvCxnSpPr>
            <a:cxnSpLocks noChangeShapeType="1"/>
          </xdr:cNvCxnSpPr>
        </xdr:nvCxnSpPr>
        <xdr:spPr bwMode="auto">
          <a:xfrm>
            <a:off x="5802316" y="12192000"/>
            <a:ext cx="0" cy="167481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7" name="Gerade Verbindung 11"/>
          <xdr:cNvCxnSpPr>
            <a:cxnSpLocks noChangeShapeType="1"/>
          </xdr:cNvCxnSpPr>
        </xdr:nvCxnSpPr>
        <xdr:spPr bwMode="auto">
          <a:xfrm>
            <a:off x="7272336" y="12177712"/>
            <a:ext cx="0" cy="167481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 name="Gerade Verbindung 7"/>
          <xdr:cNvCxnSpPr/>
        </xdr:nvCxnSpPr>
        <xdr:spPr bwMode="auto">
          <a:xfrm>
            <a:off x="6406736" y="12205688"/>
            <a:ext cx="0" cy="1678587"/>
          </a:xfrm>
          <a:prstGeom prst="line">
            <a:avLst/>
          </a:prstGeom>
          <a:ln>
            <a:prstDash val="dashDot"/>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grpSp>
    <xdr:clientData/>
  </xdr:twoCellAnchor>
  <xdr:twoCellAnchor editAs="oneCell">
    <xdr:from>
      <xdr:col>2</xdr:col>
      <xdr:colOff>476250</xdr:colOff>
      <xdr:row>185</xdr:row>
      <xdr:rowOff>137583</xdr:rowOff>
    </xdr:from>
    <xdr:to>
      <xdr:col>9</xdr:col>
      <xdr:colOff>557741</xdr:colOff>
      <xdr:row>206</xdr:row>
      <xdr:rowOff>99483</xdr:rowOff>
    </xdr:to>
    <xdr:pic>
      <xdr:nvPicPr>
        <xdr:cNvPr id="15" name="Picture 2" descr="schärfentiefe_zerstreuungskreisabhängig_ct_140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8667" y="29591000"/>
          <a:ext cx="701357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45508</xdr:colOff>
      <xdr:row>157</xdr:row>
      <xdr:rowOff>74083</xdr:rowOff>
    </xdr:from>
    <xdr:to>
      <xdr:col>15</xdr:col>
      <xdr:colOff>175683</xdr:colOff>
      <xdr:row>182</xdr:row>
      <xdr:rowOff>137585</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256382</xdr:colOff>
      <xdr:row>157</xdr:row>
      <xdr:rowOff>73025</xdr:rowOff>
    </xdr:from>
    <xdr:to>
      <xdr:col>21</xdr:col>
      <xdr:colOff>608807</xdr:colOff>
      <xdr:row>183</xdr:row>
      <xdr:rowOff>112713</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157692</xdr:colOff>
      <xdr:row>157</xdr:row>
      <xdr:rowOff>63500</xdr:rowOff>
    </xdr:from>
    <xdr:to>
      <xdr:col>5</xdr:col>
      <xdr:colOff>848784</xdr:colOff>
      <xdr:row>182</xdr:row>
      <xdr:rowOff>123826</xdr:rowOff>
    </xdr:to>
    <xdr:graphicFrame macro="">
      <xdr:nvGraphicFramePr>
        <xdr:cNvPr id="1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13</xdr:col>
      <xdr:colOff>58209</xdr:colOff>
      <xdr:row>185</xdr:row>
      <xdr:rowOff>58208</xdr:rowOff>
    </xdr:from>
    <xdr:to>
      <xdr:col>20</xdr:col>
      <xdr:colOff>429684</xdr:colOff>
      <xdr:row>211</xdr:row>
      <xdr:rowOff>155046</xdr:rowOff>
    </xdr:to>
    <xdr:pic>
      <xdr:nvPicPr>
        <xdr:cNvPr id="21" name="Grafik 20" descr="https://upload.wikimedia.org/wikipedia/commons/thumb/7/7a/Sch%C3%A4rfentiefenkennlinien_eine_Objektives.svg/449px-Sch%C3%A4rfentiefenkennlinien_eine_Objektives.svg.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01626" y="29511625"/>
          <a:ext cx="5705475" cy="4224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21168</xdr:colOff>
      <xdr:row>63</xdr:row>
      <xdr:rowOff>116416</xdr:rowOff>
    </xdr:from>
    <xdr:to>
      <xdr:col>21</xdr:col>
      <xdr:colOff>603252</xdr:colOff>
      <xdr:row>86</xdr:row>
      <xdr:rowOff>56886</xdr:rowOff>
    </xdr:to>
    <xdr:pic>
      <xdr:nvPicPr>
        <xdr:cNvPr id="23" name="Grafik 22" descr="https://upload.wikimedia.org/wikipedia/commons/thumb/2/25/Sensorformate.svg/524px-Sensorformat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488585" y="10159999"/>
          <a:ext cx="5154084" cy="359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c:userShapes xmlns:c="http://schemas.openxmlformats.org/drawingml/2006/chart">
  <cdr:relSizeAnchor xmlns:cdr="http://schemas.openxmlformats.org/drawingml/2006/chartDrawing">
    <cdr:from>
      <cdr:x>0</cdr:x>
      <cdr:y>0.3223</cdr:y>
    </cdr:from>
    <cdr:to>
      <cdr:x>0.05711</cdr:x>
      <cdr:y>0.61124</cdr:y>
    </cdr:to>
    <cdr:sp macro="" textlink="">
      <cdr:nvSpPr>
        <cdr:cNvPr id="2" name="Textfeld 1"/>
        <cdr:cNvSpPr txBox="1"/>
      </cdr:nvSpPr>
      <cdr:spPr>
        <a:xfrm xmlns:a="http://schemas.openxmlformats.org/drawingml/2006/main" rot="16200000">
          <a:off x="-433916" y="1732493"/>
          <a:ext cx="1164166" cy="296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Aufn.-abstand</a:t>
          </a:r>
        </a:p>
      </cdr:txBody>
    </cdr:sp>
  </cdr:relSizeAnchor>
</c:userShapes>
</file>

<file path=xl/drawings/drawing36.xml><?xml version="1.0" encoding="utf-8"?>
<xdr:wsDr xmlns:xdr="http://schemas.openxmlformats.org/drawingml/2006/spreadsheetDrawing" xmlns:a="http://schemas.openxmlformats.org/drawingml/2006/main">
  <xdr:twoCellAnchor>
    <xdr:from>
      <xdr:col>9</xdr:col>
      <xdr:colOff>833437</xdr:colOff>
      <xdr:row>137</xdr:row>
      <xdr:rowOff>45244</xdr:rowOff>
    </xdr:from>
    <xdr:to>
      <xdr:col>17</xdr:col>
      <xdr:colOff>188119</xdr:colOff>
      <xdr:row>148</xdr:row>
      <xdr:rowOff>92867</xdr:rowOff>
    </xdr:to>
    <xdr:sp macro="" textlink="">
      <xdr:nvSpPr>
        <xdr:cNvPr id="2" name="Textfeld 1"/>
        <xdr:cNvSpPr txBox="1"/>
      </xdr:nvSpPr>
      <xdr:spPr>
        <a:xfrm>
          <a:off x="7358062" y="27524869"/>
          <a:ext cx="6203157" cy="22478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Aufgabe 2 (ohne Lösung)</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Ein Sensor hinter einem Blau-Filter auf dem Chip einer Digitalkamera liefert eine Spannung von 6,8 Volt. Der variable Spannungsbereich jedes Sensors umfasst 9,6 Volt, der niedrigste Wert ist 0 Volt.</a:t>
          </a:r>
        </a:p>
        <a:p>
          <a:r>
            <a:rPr lang="de-DE" sz="1100">
              <a:solidFill>
                <a:schemeClr val="dk1"/>
              </a:solidFill>
              <a:effectLst/>
              <a:latin typeface="+mn-lt"/>
              <a:ea typeface="+mn-ea"/>
              <a:cs typeface="+mn-cs"/>
            </a:rPr>
            <a:t>Wie sieht das Bit-Muster des Blau-Wertes aus,</a:t>
          </a:r>
          <a:r>
            <a:rPr lang="de-DE" sz="1100" baseline="0">
              <a:solidFill>
                <a:schemeClr val="dk1"/>
              </a:solidFill>
              <a:effectLst/>
              <a:latin typeface="+mn-lt"/>
              <a:ea typeface="+mn-ea"/>
              <a:cs typeface="+mn-cs"/>
            </a:rPr>
            <a:t> wenn</a:t>
          </a:r>
          <a:r>
            <a:rPr lang="de-DE" sz="1100">
              <a:solidFill>
                <a:schemeClr val="dk1"/>
              </a:solidFill>
              <a:effectLst/>
              <a:latin typeface="+mn-lt"/>
              <a:ea typeface="+mn-ea"/>
              <a:cs typeface="+mn-cs"/>
            </a:rPr>
            <a:t> eine 8-Bit-Farbdatei mit vollständigen RGB-Daten entstehen</a:t>
          </a:r>
          <a:r>
            <a:rPr lang="de-DE" sz="1100" baseline="0">
              <a:solidFill>
                <a:schemeClr val="dk1"/>
              </a:solidFill>
              <a:effectLst/>
              <a:latin typeface="+mn-lt"/>
              <a:ea typeface="+mn-ea"/>
              <a:cs typeface="+mn-cs"/>
            </a:rPr>
            <a:t> soll?</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Die Umgebungspixel mit Grün-Informationen liefern die Spannungen von 6,8 V; 6,2 V; 7,1 V und 6,5 V, die Umgebungspixel mit Rot-Informationen liefern die Spannungen von 3,5 V; 4,2 V; 4,2 V und 4,4 V.</a:t>
          </a:r>
        </a:p>
        <a:p>
          <a:r>
            <a:rPr lang="de-DE" sz="1100">
              <a:solidFill>
                <a:schemeClr val="dk1"/>
              </a:solidFill>
              <a:effectLst/>
              <a:latin typeface="+mn-lt"/>
              <a:ea typeface="+mn-ea"/>
              <a:cs typeface="+mn-cs"/>
            </a:rPr>
            <a:t> Wie sieht das Bit-Muster der 3 Bytes für R, G und B aus?</a:t>
          </a:r>
        </a:p>
        <a:p>
          <a:endParaRPr lang="de-DE" sz="1100"/>
        </a:p>
      </xdr:txBody>
    </xdr:sp>
    <xdr:clientData/>
  </xdr:twoCellAnchor>
  <xdr:twoCellAnchor>
    <xdr:from>
      <xdr:col>0</xdr:col>
      <xdr:colOff>381001</xdr:colOff>
      <xdr:row>137</xdr:row>
      <xdr:rowOff>47625</xdr:rowOff>
    </xdr:from>
    <xdr:to>
      <xdr:col>9</xdr:col>
      <xdr:colOff>76200</xdr:colOff>
      <xdr:row>147</xdr:row>
      <xdr:rowOff>171450</xdr:rowOff>
    </xdr:to>
    <xdr:sp macro="" textlink="">
      <xdr:nvSpPr>
        <xdr:cNvPr id="3" name="Textfeld 2"/>
        <xdr:cNvSpPr txBox="1"/>
      </xdr:nvSpPr>
      <xdr:spPr>
        <a:xfrm>
          <a:off x="381001" y="27527250"/>
          <a:ext cx="6219824"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Aufgabe 1</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Für den Sensor einer Digitalkamera gilt: Schwarze Motivteile führen zu einer Sensor-Spannung von minimal</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1 Volt (Grundspannung), weiße Motivteile  führen zu einer Sensor-Spannung von max. 10 Volt.</a:t>
          </a:r>
        </a:p>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Die Kamera</a:t>
          </a:r>
          <a:r>
            <a:rPr lang="de-DE" sz="1100" baseline="0">
              <a:solidFill>
                <a:schemeClr val="dk1"/>
              </a:solidFill>
              <a:effectLst/>
              <a:latin typeface="+mn-lt"/>
              <a:ea typeface="+mn-ea"/>
              <a:cs typeface="+mn-cs"/>
            </a:rPr>
            <a:t> erstellt eine  </a:t>
          </a:r>
          <a:r>
            <a:rPr lang="de-DE" sz="1100">
              <a:solidFill>
                <a:schemeClr val="dk1"/>
              </a:solidFill>
              <a:effectLst/>
              <a:latin typeface="+mn-lt"/>
              <a:ea typeface="+mn-ea"/>
              <a:cs typeface="+mn-cs"/>
            </a:rPr>
            <a:t>RGB-Datei mit 8-Bit Farbtiefe.</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Wie sieht das Bit-Muster  aus, wenn der Sensor  hinter einem Grünfilter eine </a:t>
          </a:r>
          <a:r>
            <a:rPr lang="de-DE" sz="1100" baseline="0">
              <a:solidFill>
                <a:schemeClr val="dk1"/>
              </a:solidFill>
              <a:effectLst/>
              <a:latin typeface="+mn-lt"/>
              <a:ea typeface="+mn-ea"/>
              <a:cs typeface="+mn-cs"/>
            </a:rPr>
            <a:t>S</a:t>
          </a:r>
          <a:r>
            <a:rPr lang="de-DE" sz="1100">
              <a:solidFill>
                <a:schemeClr val="dk1"/>
              </a:solidFill>
              <a:effectLst/>
              <a:latin typeface="+mn-lt"/>
              <a:ea typeface="+mn-ea"/>
              <a:cs typeface="+mn-cs"/>
            </a:rPr>
            <a:t>ensorspannung</a:t>
          </a:r>
          <a:r>
            <a:rPr lang="de-DE" sz="1100" baseline="0">
              <a:solidFill>
                <a:schemeClr val="dk1"/>
              </a:solidFill>
              <a:effectLst/>
              <a:latin typeface="+mn-lt"/>
              <a:ea typeface="+mn-ea"/>
              <a:cs typeface="+mn-cs"/>
            </a:rPr>
            <a:t> von 6,4 Volt abgibt</a:t>
          </a:r>
          <a:r>
            <a:rPr lang="de-DE" sz="1100">
              <a:solidFill>
                <a:schemeClr val="dk1"/>
              </a:solidFill>
              <a:effectLst/>
              <a:latin typeface="+mn-lt"/>
              <a:ea typeface="+mn-ea"/>
              <a:cs typeface="+mn-cs"/>
            </a:rPr>
            <a:t>?</a:t>
          </a:r>
          <a:endParaRPr lang="de-DE">
            <a:effectLst/>
          </a:endParaRPr>
        </a:p>
        <a:p>
          <a:endParaRPr lang="de-D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Die Umgebungspixel mit Blau-Informationen liefern die Spannungen von 3,8 V; 2,9 V; 4,15 V und 3,5 V, die Umgebungspixel mit Rot-Informationen liefern die Spannungen von 8,5 V; 8,2 V; 8,35 V und 8,6 V.</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Wie sieht das Bit-Muster der 3 Bytes für R, G und B aus?</a:t>
          </a:r>
          <a:endParaRPr lang="de-DE">
            <a:effectLst/>
          </a:endParaRPr>
        </a:p>
        <a:p>
          <a:endParaRPr lang="de-DE" sz="1100">
            <a:solidFill>
              <a:schemeClr val="dk1"/>
            </a:solidFill>
            <a:effectLst/>
            <a:latin typeface="+mn-lt"/>
            <a:ea typeface="+mn-ea"/>
            <a:cs typeface="+mn-cs"/>
          </a:endParaRPr>
        </a:p>
      </xdr:txBody>
    </xdr:sp>
    <xdr:clientData/>
  </xdr:twoCellAnchor>
  <xdr:twoCellAnchor editAs="oneCell">
    <xdr:from>
      <xdr:col>0</xdr:col>
      <xdr:colOff>1670845</xdr:colOff>
      <xdr:row>266</xdr:row>
      <xdr:rowOff>50664</xdr:rowOff>
    </xdr:from>
    <xdr:to>
      <xdr:col>9</xdr:col>
      <xdr:colOff>523875</xdr:colOff>
      <xdr:row>279</xdr:row>
      <xdr:rowOff>93694</xdr:rowOff>
    </xdr:to>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845" y="53371614"/>
          <a:ext cx="5377655" cy="264335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47625</xdr:colOff>
      <xdr:row>361</xdr:row>
      <xdr:rowOff>85725</xdr:rowOff>
    </xdr:from>
    <xdr:to>
      <xdr:col>4</xdr:col>
      <xdr:colOff>552450</xdr:colOff>
      <xdr:row>380</xdr:row>
      <xdr:rowOff>49530</xdr:rowOff>
    </xdr:to>
    <xdr:pic>
      <xdr:nvPicPr>
        <xdr:cNvPr id="2" name="Picture 1" descr="zinseszinseffek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16925925"/>
          <a:ext cx="5143500" cy="304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609599</xdr:colOff>
      <xdr:row>150</xdr:row>
      <xdr:rowOff>76200</xdr:rowOff>
    </xdr:from>
    <xdr:to>
      <xdr:col>22</xdr:col>
      <xdr:colOff>57149</xdr:colOff>
      <xdr:row>165</xdr:row>
      <xdr:rowOff>123825</xdr:rowOff>
    </xdr:to>
    <xdr:sp macro="" textlink="">
      <xdr:nvSpPr>
        <xdr:cNvPr id="3" name="Textfeld 2"/>
        <xdr:cNvSpPr txBox="1"/>
      </xdr:nvSpPr>
      <xdr:spPr>
        <a:xfrm>
          <a:off x="13125449" y="24364950"/>
          <a:ext cx="7781925" cy="2505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mn-lt"/>
              <a:ea typeface="+mn-ea"/>
              <a:cs typeface="+mn-cs"/>
            </a:rPr>
            <a:t>Zinssatz:</a:t>
          </a:r>
          <a:r>
            <a:rPr lang="de-DE" sz="1100" b="0" i="0">
              <a:solidFill>
                <a:schemeClr val="dk1"/>
              </a:solidFill>
              <a:effectLst/>
              <a:latin typeface="+mn-lt"/>
              <a:ea typeface="+mn-ea"/>
              <a:cs typeface="+mn-cs"/>
            </a:rPr>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Das ist der Zinssatz pro Periode bzw. Zahlungszeitraum. Da Zinssätze üblicherweise für 1 Jahr angegeben werden, muss bei monatlichen Zahlungen der Zinssatz durch 12, bei vierteljährlichen Zahlungen durch 4 usw. geteilt werden.</a:t>
          </a:r>
        </a:p>
        <a:p>
          <a:r>
            <a:rPr lang="de-DE" sz="1100" b="1" i="0">
              <a:solidFill>
                <a:schemeClr val="dk1"/>
              </a:solidFill>
              <a:effectLst/>
              <a:latin typeface="+mn-lt"/>
              <a:ea typeface="+mn-ea"/>
              <a:cs typeface="+mn-cs"/>
            </a:rPr>
            <a:t>Zzr:</a:t>
          </a:r>
          <a:r>
            <a:rPr lang="de-DE" sz="1100" b="0" i="0">
              <a:solidFill>
                <a:schemeClr val="dk1"/>
              </a:solidFill>
              <a:effectLst/>
              <a:latin typeface="+mn-lt"/>
              <a:ea typeface="+mn-ea"/>
              <a:cs typeface="+mn-cs"/>
            </a:rPr>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Zzr steht für </a:t>
          </a:r>
          <a:r>
            <a:rPr lang="de-DE" sz="1100" b="1" i="0">
              <a:solidFill>
                <a:schemeClr val="dk1"/>
              </a:solidFill>
              <a:effectLst/>
              <a:latin typeface="+mn-lt"/>
              <a:ea typeface="+mn-ea"/>
              <a:cs typeface="+mn-cs"/>
            </a:rPr>
            <a:t>Z</a:t>
          </a:r>
          <a:r>
            <a:rPr lang="de-DE" sz="1100" b="0" i="0">
              <a:solidFill>
                <a:schemeClr val="dk1"/>
              </a:solidFill>
              <a:effectLst/>
              <a:latin typeface="+mn-lt"/>
              <a:ea typeface="+mn-ea"/>
              <a:cs typeface="+mn-cs"/>
            </a:rPr>
            <a:t>ahlungs</a:t>
          </a:r>
          <a:r>
            <a:rPr lang="de-DE" sz="1100" b="1" i="0">
              <a:solidFill>
                <a:schemeClr val="dk1"/>
              </a:solidFill>
              <a:effectLst/>
              <a:latin typeface="+mn-lt"/>
              <a:ea typeface="+mn-ea"/>
              <a:cs typeface="+mn-cs"/>
            </a:rPr>
            <a:t>z</a:t>
          </a:r>
          <a:r>
            <a:rPr lang="de-DE" sz="1100" b="0" i="0">
              <a:solidFill>
                <a:schemeClr val="dk1"/>
              </a:solidFill>
              <a:effectLst/>
              <a:latin typeface="+mn-lt"/>
              <a:ea typeface="+mn-ea"/>
              <a:cs typeface="+mn-cs"/>
            </a:rPr>
            <a:t>eit</a:t>
          </a:r>
          <a:r>
            <a:rPr lang="de-DE" sz="1100" b="1" i="0">
              <a:solidFill>
                <a:schemeClr val="dk1"/>
              </a:solidFill>
              <a:effectLst/>
              <a:latin typeface="+mn-lt"/>
              <a:ea typeface="+mn-ea"/>
              <a:cs typeface="+mn-cs"/>
            </a:rPr>
            <a:t>r</a:t>
          </a:r>
          <a:r>
            <a:rPr lang="de-DE" sz="1100" b="0" i="0">
              <a:solidFill>
                <a:schemeClr val="dk1"/>
              </a:solidFill>
              <a:effectLst/>
              <a:latin typeface="+mn-lt"/>
              <a:ea typeface="+mn-ea"/>
              <a:cs typeface="+mn-cs"/>
            </a:rPr>
            <a:t>äume (Perioden</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 Damit gibt man an, wie oft die jeweilige Annuität oder Rente gezahlt werden soll. Wichtig dabei ist nur, dass die Zinszeiträume und die Zahlungszeiträume zueinander passen. Das heißt, wenn man mit monatlichen Zahlungen arbeiten möchte, dann muss auch der Zinssatz auf einen Monat gerechnet werden.</a:t>
          </a:r>
        </a:p>
        <a:p>
          <a:r>
            <a:rPr lang="de-DE" sz="1100" b="1" i="0">
              <a:solidFill>
                <a:schemeClr val="dk1"/>
              </a:solidFill>
              <a:effectLst/>
              <a:latin typeface="+mn-lt"/>
              <a:ea typeface="+mn-ea"/>
              <a:cs typeface="+mn-cs"/>
            </a:rPr>
            <a:t>Bw:</a:t>
          </a:r>
          <a:r>
            <a:rPr lang="de-DE" sz="1100" b="0" i="0">
              <a:solidFill>
                <a:schemeClr val="dk1"/>
              </a:solidFill>
              <a:effectLst/>
              <a:latin typeface="+mn-lt"/>
              <a:ea typeface="+mn-ea"/>
              <a:cs typeface="+mn-cs"/>
            </a:rPr>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Das ist der Barwert, welcher der Summe aller zukünftigen Zahlungen zum gegenwärtigen Zeitpunkt entspricht.</a:t>
          </a:r>
        </a:p>
        <a:p>
          <a:r>
            <a:rPr lang="de-DE" sz="1100" b="1" i="0">
              <a:solidFill>
                <a:schemeClr val="dk1"/>
              </a:solidFill>
              <a:effectLst/>
              <a:latin typeface="+mn-lt"/>
              <a:ea typeface="+mn-ea"/>
              <a:cs typeface="+mn-cs"/>
            </a:rPr>
            <a:t>Zw:</a:t>
          </a:r>
          <a:r>
            <a:rPr lang="de-DE" sz="1100" b="0" i="0">
              <a:solidFill>
                <a:schemeClr val="dk1"/>
              </a:solidFill>
              <a:effectLst/>
              <a:latin typeface="+mn-lt"/>
              <a:ea typeface="+mn-ea"/>
              <a:cs typeface="+mn-cs"/>
            </a:rPr>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Der zukünftige Wert ist der Zielwert</a:t>
          </a:r>
          <a:r>
            <a:rPr lang="de-DE" sz="1100" b="0" i="0" baseline="0">
              <a:solidFill>
                <a:schemeClr val="dk1"/>
              </a:solidFill>
              <a:effectLst/>
              <a:latin typeface="+mn-lt"/>
              <a:ea typeface="+mn-ea"/>
              <a:cs typeface="+mn-cs"/>
            </a:rPr>
            <a:t> oder </a:t>
          </a:r>
          <a:r>
            <a:rPr lang="de-DE" sz="1100" b="0" i="0">
              <a:solidFill>
                <a:schemeClr val="dk1"/>
              </a:solidFill>
              <a:effectLst/>
              <a:latin typeface="+mn-lt"/>
              <a:ea typeface="+mn-ea"/>
              <a:cs typeface="+mn-cs"/>
            </a:rPr>
            <a:t>Endwert, den man nach der letzten Zahlung erreicht hat.</a:t>
          </a:r>
        </a:p>
        <a:p>
          <a:r>
            <a:rPr lang="de-DE" sz="1100" b="1" i="0">
              <a:solidFill>
                <a:schemeClr val="dk1"/>
              </a:solidFill>
              <a:effectLst/>
              <a:latin typeface="+mn-lt"/>
              <a:ea typeface="+mn-ea"/>
              <a:cs typeface="+mn-cs"/>
            </a:rPr>
            <a:t>F:</a:t>
          </a:r>
          <a:r>
            <a:rPr lang="de-DE" sz="1100" b="0" i="0">
              <a:solidFill>
                <a:schemeClr val="dk1"/>
              </a:solidFill>
              <a:effectLst/>
              <a:latin typeface="+mn-lt"/>
              <a:ea typeface="+mn-ea"/>
              <a:cs typeface="+mn-cs"/>
            </a:rPr>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Damit gibt man die Fälligkeit an: 1 bedeutet, die Zahlung ist zu Beginn der Periode fällig, 0 (Null, oder nicht angegeben) bedeutet, die Zahlung ist am Ende der Periode fällig.</a:t>
          </a:r>
        </a:p>
        <a:p>
          <a:endParaRPr lang="de-DE" sz="1100"/>
        </a:p>
      </xdr:txBody>
    </xdr:sp>
    <xdr:clientData/>
  </xdr:twoCellAnchor>
  <xdr:twoCellAnchor>
    <xdr:from>
      <xdr:col>11</xdr:col>
      <xdr:colOff>561975</xdr:colOff>
      <xdr:row>173</xdr:row>
      <xdr:rowOff>85725</xdr:rowOff>
    </xdr:from>
    <xdr:to>
      <xdr:col>19</xdr:col>
      <xdr:colOff>657225</xdr:colOff>
      <xdr:row>178</xdr:row>
      <xdr:rowOff>123825</xdr:rowOff>
    </xdr:to>
    <xdr:sp macro="" textlink="">
      <xdr:nvSpPr>
        <xdr:cNvPr id="4" name="Textfeld 3"/>
        <xdr:cNvSpPr txBox="1"/>
      </xdr:nvSpPr>
      <xdr:spPr>
        <a:xfrm>
          <a:off x="13077825" y="28155900"/>
          <a:ext cx="614362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a:solidFill>
                <a:schemeClr val="dk1"/>
              </a:solidFill>
              <a:effectLst/>
              <a:latin typeface="+mn-lt"/>
              <a:ea typeface="+mn-ea"/>
              <a:cs typeface="+mn-cs"/>
            </a:rPr>
            <a:t>Wenn kein Schätzwert angegeben wird, so wird der Wert 10% vorrausgesetzt. Wenn der eingesetzte Schätzwert nicht zur Lösung führt, muss ein anderer angenommen werden. Diese Funktion arbeitet mit einen Iterationsverfahren. Wenn es keine Lösung findet die um 0,0000001 abweicht nach 20 Durchläufen, so gibt die Funktion den Fehler #Zahl aus.</a:t>
          </a:r>
          <a:endParaRPr lang="de-DE" sz="1100"/>
        </a:p>
      </xdr:txBody>
    </xdr:sp>
    <xdr:clientData/>
  </xdr:twoCellAnchor>
  <xdr:twoCellAnchor>
    <xdr:from>
      <xdr:col>11</xdr:col>
      <xdr:colOff>571500</xdr:colOff>
      <xdr:row>182</xdr:row>
      <xdr:rowOff>19050</xdr:rowOff>
    </xdr:from>
    <xdr:to>
      <xdr:col>19</xdr:col>
      <xdr:colOff>685800</xdr:colOff>
      <xdr:row>195</xdr:row>
      <xdr:rowOff>95250</xdr:rowOff>
    </xdr:to>
    <xdr:sp macro="" textlink="">
      <xdr:nvSpPr>
        <xdr:cNvPr id="5" name="Textfeld 4"/>
        <xdr:cNvSpPr txBox="1"/>
      </xdr:nvSpPr>
      <xdr:spPr>
        <a:xfrm>
          <a:off x="13906500" y="29546550"/>
          <a:ext cx="6162675"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mn-lt"/>
              <a:ea typeface="+mn-ea"/>
              <a:cs typeface="+mn-cs"/>
            </a:rPr>
            <a:t>Es besteht kein Unterschied zwischen Anspar- und Darlehenskonten. </a:t>
          </a:r>
          <a:r>
            <a:rPr lang="de-DE"/>
            <a:t> </a:t>
          </a:r>
          <a:r>
            <a:rPr lang="de-DE" sz="1100" b="0" i="0" u="none" strike="noStrike">
              <a:solidFill>
                <a:schemeClr val="dk1"/>
              </a:solidFill>
              <a:effectLst/>
              <a:latin typeface="+mn-lt"/>
              <a:ea typeface="+mn-ea"/>
              <a:cs typeface="+mn-cs"/>
            </a:rPr>
            <a:t>Es ist lediglich darauf zu achten, Zahlungsströmen das richtige Vorzeichen zuzuordnen. Eine Darlehensauszahlung </a:t>
          </a:r>
          <a:r>
            <a:rPr lang="de-DE"/>
            <a:t> </a:t>
          </a:r>
          <a:r>
            <a:rPr lang="de-DE" sz="1100" b="0" i="0" u="none" strike="noStrike">
              <a:solidFill>
                <a:schemeClr val="dk1"/>
              </a:solidFill>
              <a:effectLst/>
              <a:latin typeface="+mn-lt"/>
              <a:ea typeface="+mn-ea"/>
              <a:cs typeface="+mn-cs"/>
            </a:rPr>
            <a:t>fließt in eine andere Richtung, als die Rückzahlung. Falls die Auszahlung ein negatives Vorzeichen erhält, wird der </a:t>
          </a:r>
          <a:r>
            <a:rPr lang="de-DE"/>
            <a:t> </a:t>
          </a:r>
          <a:r>
            <a:rPr lang="de-DE" sz="1100" b="0" i="0" u="none" strike="noStrike">
              <a:solidFill>
                <a:schemeClr val="dk1"/>
              </a:solidFill>
              <a:effectLst/>
              <a:latin typeface="+mn-lt"/>
              <a:ea typeface="+mn-ea"/>
              <a:cs typeface="+mn-cs"/>
            </a:rPr>
            <a:t>Rückzahlung ein positives Vorzeichen zugeordnet. Es wird vorgeschlagen, für Berechnungen von folgender Konvention auszugehen: </a:t>
          </a:r>
          <a:r>
            <a:rPr lang="de-DE"/>
            <a:t> </a:t>
          </a:r>
        </a:p>
        <a:p>
          <a:r>
            <a:rPr lang="de-DE" sz="1100" b="0" i="0" u="none" strike="noStrike">
              <a:solidFill>
                <a:schemeClr val="dk1"/>
              </a:solidFill>
              <a:effectLst/>
              <a:latin typeface="+mn-lt"/>
              <a:ea typeface="+mn-ea"/>
              <a:cs typeface="+mn-cs"/>
            </a:rPr>
            <a:t>• Sichtweise des Kunden: Einnahmen erhalten ein positives, Rückzahlungen ein negatives Vorzeichen. </a:t>
          </a:r>
          <a:r>
            <a:rPr lang="de-DE"/>
            <a:t> </a:t>
          </a:r>
        </a:p>
        <a:p>
          <a:r>
            <a:rPr lang="de-DE" sz="1100" b="0" i="0" u="none" strike="noStrike">
              <a:solidFill>
                <a:schemeClr val="dk1"/>
              </a:solidFill>
              <a:effectLst/>
              <a:latin typeface="+mn-lt"/>
              <a:ea typeface="+mn-ea"/>
              <a:cs typeface="+mn-cs"/>
            </a:rPr>
            <a:t>• Sichtweise der Bank: Auszahlungen erhalten ein negatives, Einzahlungen ein positives Vorzeichen.</a:t>
          </a:r>
          <a:r>
            <a:rPr lang="de-DE"/>
            <a:t> </a:t>
          </a:r>
          <a:r>
            <a:rPr lang="de-DE" sz="1100" b="0" i="0" u="none" strike="noStrike">
              <a:solidFill>
                <a:schemeClr val="dk1"/>
              </a:solidFill>
              <a:effectLst/>
              <a:latin typeface="+mn-lt"/>
              <a:ea typeface="+mn-ea"/>
              <a:cs typeface="+mn-cs"/>
            </a:rPr>
            <a:t> </a:t>
          </a:r>
          <a:r>
            <a:rPr lang="de-DE"/>
            <a:t> </a:t>
          </a:r>
        </a:p>
        <a:p>
          <a:r>
            <a:rPr lang="de-DE" sz="1100" b="0" i="0" u="none" strike="noStrike">
              <a:solidFill>
                <a:schemeClr val="dk1"/>
              </a:solidFill>
              <a:effectLst/>
              <a:latin typeface="+mn-lt"/>
              <a:ea typeface="+mn-ea"/>
              <a:cs typeface="+mn-cs"/>
            </a:rPr>
            <a:t>• Wenn Einzahlungen mit positivem Vorzeichen erfasst werden, erhalten Rückzahlungen ein negatives Vorzeichen. </a:t>
          </a:r>
          <a:r>
            <a:rPr lang="de-DE"/>
            <a:t> </a:t>
          </a:r>
        </a:p>
        <a:p>
          <a:r>
            <a:rPr lang="de-DE" sz="1100" b="0" i="0" u="none" strike="noStrike">
              <a:solidFill>
                <a:schemeClr val="dk1"/>
              </a:solidFill>
              <a:effectLst/>
              <a:latin typeface="+mn-lt"/>
              <a:ea typeface="+mn-ea"/>
              <a:cs typeface="+mn-cs"/>
            </a:rPr>
            <a:t>• Wenn Rückzahlungen mit positivem Vorzeichen erfasst werden, erhalten Einzahlungen ein negatives Vorzeichen.</a:t>
          </a:r>
          <a:r>
            <a:rPr lang="de-DE"/>
            <a:t> </a:t>
          </a:r>
          <a:endParaRPr lang="de-DE" sz="1100"/>
        </a:p>
      </xdr:txBody>
    </xdr:sp>
    <xdr:clientData/>
  </xdr:twoCellAnchor>
  <xdr:twoCellAnchor>
    <xdr:from>
      <xdr:col>11</xdr:col>
      <xdr:colOff>542925</xdr:colOff>
      <xdr:row>133</xdr:row>
      <xdr:rowOff>66675</xdr:rowOff>
    </xdr:from>
    <xdr:to>
      <xdr:col>22</xdr:col>
      <xdr:colOff>57150</xdr:colOff>
      <xdr:row>148</xdr:row>
      <xdr:rowOff>104775</xdr:rowOff>
    </xdr:to>
    <xdr:sp macro="" textlink="">
      <xdr:nvSpPr>
        <xdr:cNvPr id="6" name="Textfeld 5"/>
        <xdr:cNvSpPr txBox="1"/>
      </xdr:nvSpPr>
      <xdr:spPr>
        <a:xfrm>
          <a:off x="13877925" y="21602700"/>
          <a:ext cx="7848600" cy="2466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none" strike="noStrike">
              <a:solidFill>
                <a:schemeClr val="dk1"/>
              </a:solidFill>
              <a:effectLst/>
              <a:latin typeface="+mn-lt"/>
              <a:ea typeface="+mn-ea"/>
              <a:cs typeface="+mn-cs"/>
            </a:rPr>
            <a:t>Funktion ZINS (Zinssatz)</a:t>
          </a:r>
          <a:r>
            <a:rPr lang="de-DE"/>
            <a:t> </a:t>
          </a:r>
          <a:r>
            <a:rPr lang="de-DE" sz="1100" b="0" i="0" u="none" strike="noStrike">
              <a:solidFill>
                <a:schemeClr val="dk1"/>
              </a:solidFill>
              <a:effectLst/>
              <a:latin typeface="+mn-lt"/>
              <a:ea typeface="+mn-ea"/>
              <a:cs typeface="+mn-cs"/>
            </a:rPr>
            <a:t>Wieviel Prozent Zinsen zahle ich, wenn ich ein Darlehen für einen bestimmten Zeitraum erhalte und monatlich einen Festbetrag zurückzahle? Funktion ZINS (Zinssatz)</a:t>
          </a:r>
          <a:r>
            <a:rPr lang="de-DE"/>
            <a:t> </a:t>
          </a:r>
        </a:p>
        <a:p>
          <a:r>
            <a:rPr lang="de-DE" sz="1100" b="1" i="0" u="none" strike="noStrike">
              <a:solidFill>
                <a:schemeClr val="dk1"/>
              </a:solidFill>
              <a:effectLst/>
              <a:latin typeface="+mn-lt"/>
              <a:ea typeface="+mn-ea"/>
              <a:cs typeface="+mn-cs"/>
            </a:rPr>
            <a:t>Funktion RMZ (Regelmäßige Zahlung)</a:t>
          </a:r>
          <a:r>
            <a:rPr lang="de-DE"/>
            <a:t> </a:t>
          </a:r>
          <a:r>
            <a:rPr lang="de-DE" sz="1100" b="0" i="0" u="none" strike="noStrike">
              <a:solidFill>
                <a:schemeClr val="dk1"/>
              </a:solidFill>
              <a:effectLst/>
              <a:latin typeface="+mn-lt"/>
              <a:ea typeface="+mn-ea"/>
              <a:cs typeface="+mn-cs"/>
            </a:rPr>
            <a:t>Wieviel Geld zahle ich monatlich, damit in einem bestimmten Zeitraum zu einem festgelegten Zinssatz ein bestimmter Betrag erreicht ist? Funktion RMZ (Regelmäßige Zahlung)</a:t>
          </a:r>
          <a:r>
            <a:rPr lang="de-DE"/>
            <a:t> </a:t>
          </a:r>
        </a:p>
        <a:p>
          <a:r>
            <a:rPr lang="de-DE" sz="1100" b="1" i="0" u="none" strike="noStrike">
              <a:solidFill>
                <a:schemeClr val="dk1"/>
              </a:solidFill>
              <a:effectLst/>
              <a:latin typeface="+mn-lt"/>
              <a:ea typeface="+mn-ea"/>
              <a:cs typeface="+mn-cs"/>
            </a:rPr>
            <a:t>Funktion ZW (Zukunftswert)</a:t>
          </a:r>
          <a:r>
            <a:rPr lang="de-DE"/>
            <a:t> </a:t>
          </a:r>
          <a:r>
            <a:rPr lang="de-DE" sz="1100" b="0" i="0" u="none" strike="noStrike">
              <a:solidFill>
                <a:schemeClr val="dk1"/>
              </a:solidFill>
              <a:effectLst/>
              <a:latin typeface="+mn-lt"/>
              <a:ea typeface="+mn-ea"/>
              <a:cs typeface="+mn-cs"/>
            </a:rPr>
            <a:t>Wieviel Geld kommt zusammen, wenn ich bei einem bestimmten Zinssatz eine bestimmte Anzahl Zahlungen leiste? Funktion ZW (Zukunftswert)</a:t>
          </a:r>
          <a:r>
            <a:rPr lang="de-DE"/>
            <a:t> </a:t>
          </a:r>
        </a:p>
        <a:p>
          <a:r>
            <a:rPr lang="de-DE" sz="1100" b="1" i="0" u="none" strike="noStrike">
              <a:solidFill>
                <a:schemeClr val="dk1"/>
              </a:solidFill>
              <a:effectLst/>
              <a:latin typeface="+mn-lt"/>
              <a:ea typeface="+mn-ea"/>
              <a:cs typeface="+mn-cs"/>
            </a:rPr>
            <a:t>Funktion ZZR (Zahl der Zahlungsperioden)</a:t>
          </a:r>
          <a:r>
            <a:rPr lang="de-DE"/>
            <a:t> </a:t>
          </a:r>
          <a:r>
            <a:rPr lang="de-DE" sz="1100" b="0" i="0" u="none" strike="noStrike">
              <a:solidFill>
                <a:schemeClr val="dk1"/>
              </a:solidFill>
              <a:effectLst/>
              <a:latin typeface="+mn-lt"/>
              <a:ea typeface="+mn-ea"/>
              <a:cs typeface="+mn-cs"/>
            </a:rPr>
            <a:t>Wievielmal muß ein bestimmter Betrag eingezahlt werden, um bei gegebenem Zinssatz einen bestimmten Betrag zu  erreichen? Funktion ZZR (Zahl der Zahlungsperioden)</a:t>
          </a:r>
          <a:r>
            <a:rPr lang="de-DE"/>
            <a:t> </a:t>
          </a:r>
        </a:p>
        <a:p>
          <a:r>
            <a:rPr lang="de-DE" sz="1100" b="1" i="0" u="none" strike="noStrike">
              <a:solidFill>
                <a:schemeClr val="dk1"/>
              </a:solidFill>
              <a:effectLst/>
              <a:latin typeface="+mn-lt"/>
              <a:ea typeface="+mn-ea"/>
              <a:cs typeface="+mn-cs"/>
            </a:rPr>
            <a:t>Funktion BW (Barwert)</a:t>
          </a:r>
          <a:r>
            <a:rPr lang="de-DE"/>
            <a:t> </a:t>
          </a:r>
          <a:r>
            <a:rPr lang="de-DE" sz="1100" b="0" i="0" u="none" strike="noStrike">
              <a:solidFill>
                <a:schemeClr val="dk1"/>
              </a:solidFill>
              <a:effectLst/>
              <a:latin typeface="+mn-lt"/>
              <a:ea typeface="+mn-ea"/>
              <a:cs typeface="+mn-cs"/>
            </a:rPr>
            <a:t>Welchen Wert haben zukünftige, regelmäßige Zahlungen heute, wenn sie mit einem bestimmten Prozentsatz verzinst werden? Funktion BW (Barwert)</a:t>
          </a:r>
          <a:r>
            <a:rPr lang="de-DE"/>
            <a:t> </a:t>
          </a:r>
        </a:p>
        <a:p>
          <a:r>
            <a:rPr lang="de-DE" sz="1100" b="1" i="0" u="none" strike="noStrike">
              <a:solidFill>
                <a:schemeClr val="dk1"/>
              </a:solidFill>
              <a:effectLst/>
              <a:latin typeface="+mn-lt"/>
              <a:ea typeface="+mn-ea"/>
              <a:cs typeface="+mn-cs"/>
            </a:rPr>
            <a:t>Funktion ZINSZ (Zinszahlung)</a:t>
          </a:r>
          <a:r>
            <a:rPr lang="de-DE"/>
            <a:t> </a:t>
          </a:r>
          <a:r>
            <a:rPr lang="de-DE" sz="1100" b="0" i="0" u="none" strike="noStrike">
              <a:solidFill>
                <a:schemeClr val="dk1"/>
              </a:solidFill>
              <a:effectLst/>
              <a:latin typeface="+mn-lt"/>
              <a:ea typeface="+mn-ea"/>
              <a:cs typeface="+mn-cs"/>
            </a:rPr>
            <a:t>Wieviele Zinsen muß ich in einer bestimmten Periode  für einen Kredit zahlen, wenn gleichbleibende Raten vereinbart sind? Funktion ZINSZ (Zinszahlung)</a:t>
          </a:r>
          <a:r>
            <a:rPr lang="de-DE"/>
            <a:t> </a:t>
          </a:r>
          <a:endParaRPr lang="de-DE" sz="1100"/>
        </a:p>
      </xdr:txBody>
    </xdr:sp>
    <xdr:clientData/>
  </xdr:twoCellAnchor>
  <xdr:twoCellAnchor>
    <xdr:from>
      <xdr:col>8</xdr:col>
      <xdr:colOff>561975</xdr:colOff>
      <xdr:row>31</xdr:row>
      <xdr:rowOff>47625</xdr:rowOff>
    </xdr:from>
    <xdr:to>
      <xdr:col>17</xdr:col>
      <xdr:colOff>676275</xdr:colOff>
      <xdr:row>46</xdr:row>
      <xdr:rowOff>38100</xdr:rowOff>
    </xdr:to>
    <xdr:sp macro="" textlink="">
      <xdr:nvSpPr>
        <xdr:cNvPr id="7" name="Textfeld 6"/>
        <xdr:cNvSpPr txBox="1"/>
      </xdr:nvSpPr>
      <xdr:spPr>
        <a:xfrm>
          <a:off x="11753850" y="5105400"/>
          <a:ext cx="6781800" cy="241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mn-lt"/>
              <a:ea typeface="+mn-ea"/>
              <a:cs typeface="+mn-cs"/>
            </a:rPr>
            <a:t>Berechnung der Spar-Wirkung bei Anlage von Geld auf der Bank:</a:t>
          </a:r>
          <a:r>
            <a:rPr lang="de-DE"/>
            <a:t> </a:t>
          </a:r>
          <a:r>
            <a:rPr lang="de-DE" sz="1100" b="0" i="0" u="none" strike="noStrike">
              <a:solidFill>
                <a:schemeClr val="dk1"/>
              </a:solidFill>
              <a:effectLst/>
              <a:latin typeface="+mn-lt"/>
              <a:ea typeface="+mn-ea"/>
              <a:cs typeface="+mn-cs"/>
            </a:rPr>
            <a:t> </a:t>
          </a:r>
          <a:r>
            <a:rPr lang="de-DE"/>
            <a:t> </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Endwert = Startkapital mal (1 + Zinssatz) hoch Periodenzahl</a:t>
          </a:r>
          <a:r>
            <a:rPr lang="de-DE"/>
            <a:t> </a:t>
          </a:r>
          <a:r>
            <a:rPr lang="de-DE" sz="1100" b="0" i="0" u="none" strike="noStrike">
              <a:solidFill>
                <a:schemeClr val="dk1"/>
              </a:solidFill>
              <a:effectLst/>
              <a:latin typeface="+mn-lt"/>
              <a:ea typeface="+mn-ea"/>
              <a:cs typeface="+mn-cs"/>
            </a:rPr>
            <a:t> </a:t>
          </a:r>
          <a:r>
            <a:rPr lang="de-DE"/>
            <a:t> </a:t>
          </a:r>
        </a:p>
        <a:p>
          <a:endParaRPr lang="de-DE" sz="1100" b="0" i="0" u="none" strike="noStrike">
            <a:solidFill>
              <a:schemeClr val="dk1"/>
            </a:solidFill>
            <a:effectLst/>
            <a:latin typeface="+mn-lt"/>
            <a:ea typeface="+mn-ea"/>
            <a:cs typeface="+mn-cs"/>
          </a:endParaRP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Die abgewandelte Formel kommt bei der Berechung der Teilreflektion zum Zug, also beim Thema Linsenvergütung</a:t>
          </a:r>
          <a:r>
            <a:rPr lang="de-DE"/>
            <a:t> </a:t>
          </a:r>
          <a:r>
            <a:rPr lang="de-DE" sz="1100" b="0" i="0" u="none" strike="noStrike">
              <a:solidFill>
                <a:schemeClr val="dk1"/>
              </a:solidFill>
              <a:effectLst/>
              <a:latin typeface="+mn-lt"/>
              <a:ea typeface="+mn-ea"/>
              <a:cs typeface="+mn-cs"/>
            </a:rPr>
            <a:t>Hier befindet sich die Oberflächenvergütung auf mehreren Linsenoberflächen.</a:t>
          </a:r>
          <a:r>
            <a:rPr lang="de-DE"/>
            <a:t> </a:t>
          </a:r>
          <a:r>
            <a:rPr lang="de-DE" sz="1100" b="0" i="0" u="none" strike="noStrike">
              <a:solidFill>
                <a:schemeClr val="dk1"/>
              </a:solidFill>
              <a:effectLst/>
              <a:latin typeface="+mn-lt"/>
              <a:ea typeface="+mn-ea"/>
              <a:cs typeface="+mn-cs"/>
            </a:rPr>
            <a:t> </a:t>
          </a:r>
          <a:r>
            <a:rPr lang="de-DE"/>
            <a:t> </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Gesamte Teilreflektion =  (Ausgangslichtintensität - Reflexionsverlust an Linsenseite) hoch (Zahl der Linsenseiten)</a:t>
          </a:r>
          <a:r>
            <a:rPr lang="de-DE"/>
            <a:t> </a:t>
          </a:r>
          <a:endParaRPr lang="de-DE" sz="1100"/>
        </a:p>
      </xdr:txBody>
    </xdr:sp>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62</xdr:row>
          <xdr:rowOff>19050</xdr:rowOff>
        </xdr:from>
        <xdr:to>
          <xdr:col>0</xdr:col>
          <xdr:colOff>1771650</xdr:colOff>
          <xdr:row>62</xdr:row>
          <xdr:rowOff>219075</xdr:rowOff>
        </xdr:to>
        <xdr:sp macro="" textlink="">
          <xdr:nvSpPr>
            <xdr:cNvPr id="46081" name="Drop Down 1" hidden="1">
              <a:extLst>
                <a:ext uri="{63B3BB69-23CF-44E3-9099-C40C66FF867C}">
                  <a14:compatExt spid="_x0000_s46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63</xdr:row>
          <xdr:rowOff>28575</xdr:rowOff>
        </xdr:from>
        <xdr:to>
          <xdr:col>0</xdr:col>
          <xdr:colOff>1771650</xdr:colOff>
          <xdr:row>63</xdr:row>
          <xdr:rowOff>228600</xdr:rowOff>
        </xdr:to>
        <xdr:sp macro="" textlink="">
          <xdr:nvSpPr>
            <xdr:cNvPr id="46082" name="Drop Down 2" hidden="1">
              <a:extLst>
                <a:ext uri="{63B3BB69-23CF-44E3-9099-C40C66FF867C}">
                  <a14:compatExt spid="_x0000_s46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64</xdr:row>
          <xdr:rowOff>28575</xdr:rowOff>
        </xdr:from>
        <xdr:to>
          <xdr:col>0</xdr:col>
          <xdr:colOff>1762125</xdr:colOff>
          <xdr:row>64</xdr:row>
          <xdr:rowOff>228600</xdr:rowOff>
        </xdr:to>
        <xdr:sp macro="" textlink="">
          <xdr:nvSpPr>
            <xdr:cNvPr id="46083" name="Drop Down 3" hidden="1">
              <a:extLst>
                <a:ext uri="{63B3BB69-23CF-44E3-9099-C40C66FF867C}">
                  <a14:compatExt spid="_x0000_s46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65</xdr:row>
          <xdr:rowOff>19050</xdr:rowOff>
        </xdr:from>
        <xdr:to>
          <xdr:col>0</xdr:col>
          <xdr:colOff>1762125</xdr:colOff>
          <xdr:row>65</xdr:row>
          <xdr:rowOff>219075</xdr:rowOff>
        </xdr:to>
        <xdr:sp macro="" textlink="">
          <xdr:nvSpPr>
            <xdr:cNvPr id="46084" name="Drop Down 4" hidden="1">
              <a:extLst>
                <a:ext uri="{63B3BB69-23CF-44E3-9099-C40C66FF867C}">
                  <a14:compatExt spid="_x0000_s46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66</xdr:row>
          <xdr:rowOff>28575</xdr:rowOff>
        </xdr:from>
        <xdr:to>
          <xdr:col>0</xdr:col>
          <xdr:colOff>1762125</xdr:colOff>
          <xdr:row>66</xdr:row>
          <xdr:rowOff>228600</xdr:rowOff>
        </xdr:to>
        <xdr:sp macro="" textlink="">
          <xdr:nvSpPr>
            <xdr:cNvPr id="46085" name="Drop Down 5" hidden="1">
              <a:extLst>
                <a:ext uri="{63B3BB69-23CF-44E3-9099-C40C66FF867C}">
                  <a14:compatExt spid="_x0000_s46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67</xdr:row>
          <xdr:rowOff>19050</xdr:rowOff>
        </xdr:from>
        <xdr:to>
          <xdr:col>0</xdr:col>
          <xdr:colOff>1762125</xdr:colOff>
          <xdr:row>67</xdr:row>
          <xdr:rowOff>219075</xdr:rowOff>
        </xdr:to>
        <xdr:sp macro="" textlink="">
          <xdr:nvSpPr>
            <xdr:cNvPr id="46086" name="Drop Down 6" hidden="1">
              <a:extLst>
                <a:ext uri="{63B3BB69-23CF-44E3-9099-C40C66FF867C}">
                  <a14:compatExt spid="_x0000_s46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68</xdr:row>
          <xdr:rowOff>28575</xdr:rowOff>
        </xdr:from>
        <xdr:to>
          <xdr:col>0</xdr:col>
          <xdr:colOff>1762125</xdr:colOff>
          <xdr:row>68</xdr:row>
          <xdr:rowOff>228600</xdr:rowOff>
        </xdr:to>
        <xdr:sp macro="" textlink="">
          <xdr:nvSpPr>
            <xdr:cNvPr id="46087" name="Drop Down 7" hidden="1">
              <a:extLst>
                <a:ext uri="{63B3BB69-23CF-44E3-9099-C40C66FF867C}">
                  <a14:compatExt spid="_x0000_s46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657225</xdr:colOff>
          <xdr:row>69</xdr:row>
          <xdr:rowOff>19050</xdr:rowOff>
        </xdr:from>
        <xdr:to>
          <xdr:col>0</xdr:col>
          <xdr:colOff>1752600</xdr:colOff>
          <xdr:row>69</xdr:row>
          <xdr:rowOff>219075</xdr:rowOff>
        </xdr:to>
        <xdr:sp macro="" textlink="">
          <xdr:nvSpPr>
            <xdr:cNvPr id="46088" name="Drop Down 8" hidden="1">
              <a:extLst>
                <a:ext uri="{63B3BB69-23CF-44E3-9099-C40C66FF867C}">
                  <a14:compatExt spid="_x0000_s46088"/>
                </a:ext>
              </a:extLst>
            </xdr:cNvPr>
            <xdr:cNvSpPr/>
          </xdr:nvSpPr>
          <xdr:spPr>
            <a:xfrm>
              <a:off x="0" y="0"/>
              <a:ext cx="0" cy="0"/>
            </a:xfrm>
            <a:prstGeom prst="rect">
              <a:avLst/>
            </a:prstGeom>
          </xdr:spPr>
        </xdr:sp>
        <xdr:clientData/>
      </xdr:twoCellAnchor>
    </mc:Choice>
    <mc:Fallback/>
  </mc:AlternateContent>
  <xdr:twoCellAnchor editAs="oneCell">
    <xdr:from>
      <xdr:col>6</xdr:col>
      <xdr:colOff>476250</xdr:colOff>
      <xdr:row>25</xdr:row>
      <xdr:rowOff>123825</xdr:rowOff>
    </xdr:from>
    <xdr:to>
      <xdr:col>9</xdr:col>
      <xdr:colOff>828200</xdr:colOff>
      <xdr:row>39</xdr:row>
      <xdr:rowOff>75923</xdr:rowOff>
    </xdr:to>
    <xdr:pic>
      <xdr:nvPicPr>
        <xdr:cNvPr id="3" name="Grafik 2"/>
        <xdr:cNvPicPr>
          <a:picLocks noChangeAspect="1"/>
        </xdr:cNvPicPr>
      </xdr:nvPicPr>
      <xdr:blipFill>
        <a:blip xmlns:r="http://schemas.openxmlformats.org/officeDocument/2006/relationships" r:embed="rId1"/>
        <a:stretch>
          <a:fillRect/>
        </a:stretch>
      </xdr:blipFill>
      <xdr:spPr>
        <a:xfrm>
          <a:off x="7096125" y="4010025"/>
          <a:ext cx="3800000" cy="2219048"/>
        </a:xfrm>
        <a:prstGeom prst="rect">
          <a:avLst/>
        </a:prstGeom>
      </xdr:spPr>
    </xdr:pic>
    <xdr:clientData/>
  </xdr:twoCellAnchor>
  <xdr:twoCellAnchor editAs="oneCell">
    <xdr:from>
      <xdr:col>3</xdr:col>
      <xdr:colOff>390525</xdr:colOff>
      <xdr:row>45</xdr:row>
      <xdr:rowOff>95250</xdr:rowOff>
    </xdr:from>
    <xdr:to>
      <xdr:col>7</xdr:col>
      <xdr:colOff>332860</xdr:colOff>
      <xdr:row>54</xdr:row>
      <xdr:rowOff>152211</xdr:rowOff>
    </xdr:to>
    <xdr:pic>
      <xdr:nvPicPr>
        <xdr:cNvPr id="4" name="Grafik 3"/>
        <xdr:cNvPicPr>
          <a:picLocks noChangeAspect="1"/>
        </xdr:cNvPicPr>
      </xdr:nvPicPr>
      <xdr:blipFill>
        <a:blip xmlns:r="http://schemas.openxmlformats.org/officeDocument/2006/relationships" r:embed="rId2"/>
        <a:stretch>
          <a:fillRect/>
        </a:stretch>
      </xdr:blipFill>
      <xdr:spPr>
        <a:xfrm>
          <a:off x="4086225" y="6896100"/>
          <a:ext cx="4123810" cy="1514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28575</xdr:colOff>
          <xdr:row>215</xdr:row>
          <xdr:rowOff>57150</xdr:rowOff>
        </xdr:from>
        <xdr:to>
          <xdr:col>9</xdr:col>
          <xdr:colOff>1504950</xdr:colOff>
          <xdr:row>216</xdr:row>
          <xdr:rowOff>9525</xdr:rowOff>
        </xdr:to>
        <xdr:sp macro="" textlink="">
          <xdr:nvSpPr>
            <xdr:cNvPr id="46090" name="Drop Down 10" hidden="1">
              <a:extLst>
                <a:ext uri="{63B3BB69-23CF-44E3-9099-C40C66FF867C}">
                  <a14:compatExt spid="_x0000_s46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217</xdr:row>
          <xdr:rowOff>0</xdr:rowOff>
        </xdr:from>
        <xdr:to>
          <xdr:col>9</xdr:col>
          <xdr:colOff>1504950</xdr:colOff>
          <xdr:row>217</xdr:row>
          <xdr:rowOff>200025</xdr:rowOff>
        </xdr:to>
        <xdr:sp macro="" textlink="">
          <xdr:nvSpPr>
            <xdr:cNvPr id="46091" name="Drop Down 11" hidden="1">
              <a:extLst>
                <a:ext uri="{63B3BB69-23CF-44E3-9099-C40C66FF867C}">
                  <a14:compatExt spid="_x0000_s46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216</xdr:row>
          <xdr:rowOff>28575</xdr:rowOff>
        </xdr:from>
        <xdr:to>
          <xdr:col>9</xdr:col>
          <xdr:colOff>1504950</xdr:colOff>
          <xdr:row>216</xdr:row>
          <xdr:rowOff>228600</xdr:rowOff>
        </xdr:to>
        <xdr:sp macro="" textlink="">
          <xdr:nvSpPr>
            <xdr:cNvPr id="46092" name="Drop Down 12" hidden="1">
              <a:extLst>
                <a:ext uri="{63B3BB69-23CF-44E3-9099-C40C66FF867C}">
                  <a14:compatExt spid="_x0000_s46092"/>
                </a:ext>
              </a:extLst>
            </xdr:cNvPr>
            <xdr:cNvSpPr/>
          </xdr:nvSpPr>
          <xdr:spPr>
            <a:xfrm>
              <a:off x="0" y="0"/>
              <a:ext cx="0" cy="0"/>
            </a:xfrm>
            <a:prstGeom prst="rect">
              <a:avLst/>
            </a:prstGeom>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xdr:twoCellAnchor>
    <xdr:from>
      <xdr:col>5</xdr:col>
      <xdr:colOff>381000</xdr:colOff>
      <xdr:row>37</xdr:row>
      <xdr:rowOff>76200</xdr:rowOff>
    </xdr:from>
    <xdr:to>
      <xdr:col>8</xdr:col>
      <xdr:colOff>676275</xdr:colOff>
      <xdr:row>45</xdr:row>
      <xdr:rowOff>0</xdr:rowOff>
    </xdr:to>
    <xdr:grpSp>
      <xdr:nvGrpSpPr>
        <xdr:cNvPr id="2" name="Gruppieren 8"/>
        <xdr:cNvGrpSpPr>
          <a:grpSpLocks/>
        </xdr:cNvGrpSpPr>
      </xdr:nvGrpSpPr>
      <xdr:grpSpPr bwMode="auto">
        <a:xfrm>
          <a:off x="4191000" y="6143625"/>
          <a:ext cx="2581275" cy="1219200"/>
          <a:chOff x="4252233" y="2619376"/>
          <a:chExt cx="2579914" cy="1226003"/>
        </a:xfrm>
      </xdr:grpSpPr>
      <xdr:sp macro="" textlink="">
        <xdr:nvSpPr>
          <xdr:cNvPr id="3" name="Rechteck 2"/>
          <xdr:cNvSpPr/>
        </xdr:nvSpPr>
        <xdr:spPr>
          <a:xfrm>
            <a:off x="4785352" y="2820517"/>
            <a:ext cx="323679" cy="450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sp macro="" textlink="">
        <xdr:nvSpPr>
          <xdr:cNvPr id="4" name="Rechteck 3"/>
          <xdr:cNvSpPr/>
        </xdr:nvSpPr>
        <xdr:spPr>
          <a:xfrm>
            <a:off x="5984869" y="2619376"/>
            <a:ext cx="561679" cy="9386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sp macro="" textlink="">
        <xdr:nvSpPr>
          <xdr:cNvPr id="5" name="Textfeld 4"/>
          <xdr:cNvSpPr txBox="1"/>
        </xdr:nvSpPr>
        <xdr:spPr>
          <a:xfrm>
            <a:off x="4756792" y="3280268"/>
            <a:ext cx="609279" cy="27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13 cm</a:t>
            </a:r>
          </a:p>
        </xdr:txBody>
      </xdr:sp>
      <xdr:sp macro="" textlink="">
        <xdr:nvSpPr>
          <xdr:cNvPr id="6" name="Textfeld 5"/>
          <xdr:cNvSpPr txBox="1"/>
        </xdr:nvSpPr>
        <xdr:spPr>
          <a:xfrm>
            <a:off x="4252233" y="2964189"/>
            <a:ext cx="618799" cy="27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chemeClr val="dk1"/>
                </a:solidFill>
                <a:latin typeface="+mn-lt"/>
                <a:ea typeface="+mn-ea"/>
                <a:cs typeface="+mn-cs"/>
              </a:rPr>
              <a:t>18 cm</a:t>
            </a:r>
          </a:p>
        </xdr:txBody>
      </xdr:sp>
      <xdr:sp macro="" textlink="">
        <xdr:nvSpPr>
          <xdr:cNvPr id="7" name="Textfeld 6"/>
          <xdr:cNvSpPr txBox="1"/>
        </xdr:nvSpPr>
        <xdr:spPr>
          <a:xfrm>
            <a:off x="5480310" y="3146174"/>
            <a:ext cx="523599" cy="27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chemeClr val="dk1"/>
                </a:solidFill>
                <a:latin typeface="+mn-lt"/>
                <a:ea typeface="+mn-ea"/>
                <a:cs typeface="+mn-cs"/>
              </a:rPr>
              <a:t>X cm</a:t>
            </a:r>
          </a:p>
        </xdr:txBody>
      </xdr:sp>
      <xdr:sp macro="" textlink="">
        <xdr:nvSpPr>
          <xdr:cNvPr id="8" name="Textfeld 7"/>
          <xdr:cNvSpPr txBox="1"/>
        </xdr:nvSpPr>
        <xdr:spPr>
          <a:xfrm>
            <a:off x="6089589" y="3567613"/>
            <a:ext cx="742558" cy="27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chemeClr val="dk1"/>
                </a:solidFill>
                <a:latin typeface="+mn-lt"/>
                <a:ea typeface="+mn-ea"/>
                <a:cs typeface="+mn-cs"/>
              </a:rPr>
              <a:t>390 cm</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217714</xdr:colOff>
      <xdr:row>4</xdr:row>
      <xdr:rowOff>13606</xdr:rowOff>
    </xdr:from>
    <xdr:to>
      <xdr:col>6</xdr:col>
      <xdr:colOff>251732</xdr:colOff>
      <xdr:row>13</xdr:row>
      <xdr:rowOff>102053</xdr:rowOff>
    </xdr:to>
    <xdr:sp macro="" textlink="">
      <xdr:nvSpPr>
        <xdr:cNvPr id="2" name="Ellipse 1"/>
        <xdr:cNvSpPr/>
      </xdr:nvSpPr>
      <xdr:spPr bwMode="auto">
        <a:xfrm>
          <a:off x="4161064" y="485775"/>
          <a:ext cx="1558018" cy="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7</xdr:col>
      <xdr:colOff>190500</xdr:colOff>
      <xdr:row>4</xdr:row>
      <xdr:rowOff>102052</xdr:rowOff>
    </xdr:from>
    <xdr:to>
      <xdr:col>8</xdr:col>
      <xdr:colOff>642257</xdr:colOff>
      <xdr:row>12</xdr:row>
      <xdr:rowOff>9523</xdr:rowOff>
    </xdr:to>
    <xdr:sp macro="" textlink="">
      <xdr:nvSpPr>
        <xdr:cNvPr id="3" name="Ellipse 2"/>
        <xdr:cNvSpPr/>
      </xdr:nvSpPr>
      <xdr:spPr bwMode="auto">
        <a:xfrm>
          <a:off x="6419850" y="485775"/>
          <a:ext cx="1213757" cy="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6</xdr:col>
      <xdr:colOff>200025</xdr:colOff>
      <xdr:row>30</xdr:row>
      <xdr:rowOff>19050</xdr:rowOff>
    </xdr:from>
    <xdr:to>
      <xdr:col>9</xdr:col>
      <xdr:colOff>342900</xdr:colOff>
      <xdr:row>33</xdr:row>
      <xdr:rowOff>19050</xdr:rowOff>
    </xdr:to>
    <xdr:grpSp>
      <xdr:nvGrpSpPr>
        <xdr:cNvPr id="2" name="Group 1"/>
        <xdr:cNvGrpSpPr>
          <a:grpSpLocks/>
        </xdr:cNvGrpSpPr>
      </xdr:nvGrpSpPr>
      <xdr:grpSpPr bwMode="auto">
        <a:xfrm>
          <a:off x="4772025" y="4953000"/>
          <a:ext cx="2428875" cy="485775"/>
          <a:chOff x="463" y="257"/>
          <a:chExt cx="255" cy="51"/>
        </a:xfrm>
      </xdr:grpSpPr>
      <xdr:sp macro="" textlink="">
        <xdr:nvSpPr>
          <xdr:cNvPr id="3" name="Line 2"/>
          <xdr:cNvSpPr>
            <a:spLocks noChangeShapeType="1"/>
          </xdr:cNvSpPr>
        </xdr:nvSpPr>
        <xdr:spPr bwMode="auto">
          <a:xfrm>
            <a:off x="463" y="281"/>
            <a:ext cx="255" cy="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3"/>
          <xdr:cNvSpPr>
            <a:spLocks noChangeShapeType="1"/>
          </xdr:cNvSpPr>
        </xdr:nvSpPr>
        <xdr:spPr bwMode="auto">
          <a:xfrm>
            <a:off x="687" y="257"/>
            <a:ext cx="0" cy="51"/>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657225</xdr:colOff>
      <xdr:row>28</xdr:row>
      <xdr:rowOff>66675</xdr:rowOff>
    </xdr:from>
    <xdr:to>
      <xdr:col>7</xdr:col>
      <xdr:colOff>238125</xdr:colOff>
      <xdr:row>33</xdr:row>
      <xdr:rowOff>19050</xdr:rowOff>
    </xdr:to>
    <xdr:sp macro="" textlink="">
      <xdr:nvSpPr>
        <xdr:cNvPr id="2" name="Rectangle 1"/>
        <xdr:cNvSpPr>
          <a:spLocks noChangeArrowheads="1"/>
        </xdr:cNvSpPr>
      </xdr:nvSpPr>
      <xdr:spPr bwMode="auto">
        <a:xfrm>
          <a:off x="4467225" y="4695825"/>
          <a:ext cx="1104900" cy="76200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47625</xdr:colOff>
      <xdr:row>29</xdr:row>
      <xdr:rowOff>47625</xdr:rowOff>
    </xdr:from>
    <xdr:to>
      <xdr:col>7</xdr:col>
      <xdr:colOff>85725</xdr:colOff>
      <xdr:row>32</xdr:row>
      <xdr:rowOff>28575</xdr:rowOff>
    </xdr:to>
    <xdr:sp macro="" textlink="">
      <xdr:nvSpPr>
        <xdr:cNvPr id="3" name="Rectangle 2"/>
        <xdr:cNvSpPr>
          <a:spLocks noChangeArrowheads="1"/>
        </xdr:cNvSpPr>
      </xdr:nvSpPr>
      <xdr:spPr bwMode="auto">
        <a:xfrm>
          <a:off x="4619625" y="4838700"/>
          <a:ext cx="800100" cy="466725"/>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1209675</xdr:colOff>
      <xdr:row>32</xdr:row>
      <xdr:rowOff>133350</xdr:rowOff>
    </xdr:from>
    <xdr:to>
      <xdr:col>7</xdr:col>
      <xdr:colOff>733425</xdr:colOff>
      <xdr:row>49</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504825</xdr:colOff>
      <xdr:row>9</xdr:row>
      <xdr:rowOff>19050</xdr:rowOff>
    </xdr:from>
    <xdr:to>
      <xdr:col>9</xdr:col>
      <xdr:colOff>238125</xdr:colOff>
      <xdr:row>10</xdr:row>
      <xdr:rowOff>133350</xdr:rowOff>
    </xdr:to>
    <xdr:grpSp>
      <xdr:nvGrpSpPr>
        <xdr:cNvPr id="2" name="Group 24"/>
        <xdr:cNvGrpSpPr>
          <a:grpSpLocks/>
        </xdr:cNvGrpSpPr>
      </xdr:nvGrpSpPr>
      <xdr:grpSpPr bwMode="auto">
        <a:xfrm>
          <a:off x="4581525" y="1476375"/>
          <a:ext cx="2781300" cy="276225"/>
          <a:chOff x="653" y="155"/>
          <a:chExt cx="147" cy="29"/>
        </a:xfrm>
      </xdr:grpSpPr>
      <xdr:sp macro="" textlink="">
        <xdr:nvSpPr>
          <xdr:cNvPr id="3" name="Rectangle 3"/>
          <xdr:cNvSpPr>
            <a:spLocks noChangeArrowheads="1"/>
          </xdr:cNvSpPr>
        </xdr:nvSpPr>
        <xdr:spPr bwMode="auto">
          <a:xfrm>
            <a:off x="653" y="155"/>
            <a:ext cx="74" cy="29"/>
          </a:xfrm>
          <a:prstGeom prst="rect">
            <a:avLst/>
          </a:prstGeom>
          <a:solidFill>
            <a:srgbClr val="FFFF00"/>
          </a:solidFill>
          <a:ln w="9525">
            <a:solidFill>
              <a:srgbClr val="000000"/>
            </a:solidFill>
            <a:miter lim="800000"/>
            <a:headEnd/>
            <a:tailEnd/>
          </a:ln>
        </xdr:spPr>
      </xdr:sp>
      <xdr:sp macro="" textlink="">
        <xdr:nvSpPr>
          <xdr:cNvPr id="4" name="Rectangle 4"/>
          <xdr:cNvSpPr>
            <a:spLocks noChangeArrowheads="1"/>
          </xdr:cNvSpPr>
        </xdr:nvSpPr>
        <xdr:spPr bwMode="auto">
          <a:xfrm>
            <a:off x="727" y="155"/>
            <a:ext cx="73" cy="29"/>
          </a:xfrm>
          <a:prstGeom prst="rect">
            <a:avLst/>
          </a:prstGeom>
          <a:solidFill>
            <a:srgbClr val="FFFF00"/>
          </a:solidFill>
          <a:ln w="9525">
            <a:solidFill>
              <a:srgbClr val="000000"/>
            </a:solidFill>
            <a:miter lim="800000"/>
            <a:headEnd/>
            <a:tailEnd/>
          </a:ln>
        </xdr:spPr>
      </xdr:sp>
    </xdr:grpSp>
    <xdr:clientData/>
  </xdr:twoCellAnchor>
  <xdr:twoCellAnchor>
    <xdr:from>
      <xdr:col>1</xdr:col>
      <xdr:colOff>628650</xdr:colOff>
      <xdr:row>8</xdr:row>
      <xdr:rowOff>104775</xdr:rowOff>
    </xdr:from>
    <xdr:to>
      <xdr:col>1</xdr:col>
      <xdr:colOff>1228725</xdr:colOff>
      <xdr:row>11</xdr:row>
      <xdr:rowOff>57150</xdr:rowOff>
    </xdr:to>
    <xdr:grpSp>
      <xdr:nvGrpSpPr>
        <xdr:cNvPr id="5" name="Group 8"/>
        <xdr:cNvGrpSpPr>
          <a:grpSpLocks/>
        </xdr:cNvGrpSpPr>
      </xdr:nvGrpSpPr>
      <xdr:grpSpPr bwMode="auto">
        <a:xfrm>
          <a:off x="1390650" y="1400175"/>
          <a:ext cx="600075" cy="438150"/>
          <a:chOff x="146" y="150"/>
          <a:chExt cx="58" cy="46"/>
        </a:xfrm>
      </xdr:grpSpPr>
      <xdr:sp macro="" textlink="">
        <xdr:nvSpPr>
          <xdr:cNvPr id="6" name="Rectangle 6"/>
          <xdr:cNvSpPr>
            <a:spLocks noChangeArrowheads="1"/>
          </xdr:cNvSpPr>
        </xdr:nvSpPr>
        <xdr:spPr bwMode="auto">
          <a:xfrm>
            <a:off x="146" y="150"/>
            <a:ext cx="45" cy="46"/>
          </a:xfrm>
          <a:prstGeom prst="rect">
            <a:avLst/>
          </a:prstGeom>
          <a:solidFill>
            <a:srgbClr val="FFFFFF"/>
          </a:solidFill>
          <a:ln w="9525">
            <a:solidFill>
              <a:srgbClr val="000000"/>
            </a:solidFill>
            <a:miter lim="800000"/>
            <a:headEnd/>
            <a:tailEnd/>
          </a:ln>
        </xdr:spPr>
      </xdr:sp>
      <xdr:sp macro="" textlink="">
        <xdr:nvSpPr>
          <xdr:cNvPr id="7" name="Rectangle 7"/>
          <xdr:cNvSpPr>
            <a:spLocks noChangeArrowheads="1"/>
          </xdr:cNvSpPr>
        </xdr:nvSpPr>
        <xdr:spPr bwMode="auto">
          <a:xfrm>
            <a:off x="191" y="169"/>
            <a:ext cx="13" cy="8"/>
          </a:xfrm>
          <a:prstGeom prst="rect">
            <a:avLst/>
          </a:prstGeom>
          <a:solidFill>
            <a:srgbClr val="FFFFFF"/>
          </a:solidFill>
          <a:ln w="9525">
            <a:solidFill>
              <a:srgbClr val="000000"/>
            </a:solidFill>
            <a:miter lim="800000"/>
            <a:headEnd/>
            <a:tailEnd/>
          </a:ln>
        </xdr:spPr>
      </xdr:sp>
    </xdr:grpSp>
    <xdr:clientData/>
  </xdr:twoCellAnchor>
  <xdr:twoCellAnchor>
    <xdr:from>
      <xdr:col>5</xdr:col>
      <xdr:colOff>495300</xdr:colOff>
      <xdr:row>12</xdr:row>
      <xdr:rowOff>47625</xdr:rowOff>
    </xdr:from>
    <xdr:to>
      <xdr:col>9</xdr:col>
      <xdr:colOff>247650</xdr:colOff>
      <xdr:row>12</xdr:row>
      <xdr:rowOff>47625</xdr:rowOff>
    </xdr:to>
    <xdr:sp macro="" textlink="">
      <xdr:nvSpPr>
        <xdr:cNvPr id="8" name="Line 15"/>
        <xdr:cNvSpPr>
          <a:spLocks noChangeShapeType="1"/>
        </xdr:cNvSpPr>
      </xdr:nvSpPr>
      <xdr:spPr bwMode="auto">
        <a:xfrm>
          <a:off x="4572000" y="1990725"/>
          <a:ext cx="2800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1266825</xdr:colOff>
      <xdr:row>12</xdr:row>
      <xdr:rowOff>0</xdr:rowOff>
    </xdr:from>
    <xdr:to>
      <xdr:col>5</xdr:col>
      <xdr:colOff>485775</xdr:colOff>
      <xdr:row>12</xdr:row>
      <xdr:rowOff>0</xdr:rowOff>
    </xdr:to>
    <xdr:sp macro="" textlink="">
      <xdr:nvSpPr>
        <xdr:cNvPr id="9" name="Line 16"/>
        <xdr:cNvSpPr>
          <a:spLocks noChangeShapeType="1"/>
        </xdr:cNvSpPr>
      </xdr:nvSpPr>
      <xdr:spPr bwMode="auto">
        <a:xfrm>
          <a:off x="2028825" y="194310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247650</xdr:colOff>
      <xdr:row>12</xdr:row>
      <xdr:rowOff>38100</xdr:rowOff>
    </xdr:from>
    <xdr:to>
      <xdr:col>4</xdr:col>
      <xdr:colOff>238125</xdr:colOff>
      <xdr:row>13</xdr:row>
      <xdr:rowOff>38100</xdr:rowOff>
    </xdr:to>
    <xdr:sp macro="" textlink="">
      <xdr:nvSpPr>
        <xdr:cNvPr id="10" name="Text Box 17"/>
        <xdr:cNvSpPr txBox="1">
          <a:spLocks noChangeArrowheads="1"/>
        </xdr:cNvSpPr>
      </xdr:nvSpPr>
      <xdr:spPr bwMode="auto">
        <a:xfrm>
          <a:off x="3057525" y="1981200"/>
          <a:ext cx="495300"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 Meter</a:t>
          </a:r>
        </a:p>
      </xdr:txBody>
    </xdr:sp>
    <xdr:clientData/>
  </xdr:twoCellAnchor>
  <xdr:twoCellAnchor>
    <xdr:from>
      <xdr:col>7</xdr:col>
      <xdr:colOff>219075</xdr:colOff>
      <xdr:row>12</xdr:row>
      <xdr:rowOff>85725</xdr:rowOff>
    </xdr:from>
    <xdr:to>
      <xdr:col>8</xdr:col>
      <xdr:colOff>219075</xdr:colOff>
      <xdr:row>13</xdr:row>
      <xdr:rowOff>85725</xdr:rowOff>
    </xdr:to>
    <xdr:sp macro="" textlink="">
      <xdr:nvSpPr>
        <xdr:cNvPr id="11" name="Text Box 18"/>
        <xdr:cNvSpPr txBox="1">
          <a:spLocks noChangeArrowheads="1"/>
        </xdr:cNvSpPr>
      </xdr:nvSpPr>
      <xdr:spPr bwMode="auto">
        <a:xfrm>
          <a:off x="5819775" y="2028825"/>
          <a:ext cx="762000"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3 Meter</a:t>
          </a:r>
        </a:p>
      </xdr:txBody>
    </xdr:sp>
    <xdr:clientData/>
  </xdr:twoCellAnchor>
  <xdr:twoCellAnchor>
    <xdr:from>
      <xdr:col>2</xdr:col>
      <xdr:colOff>0</xdr:colOff>
      <xdr:row>13</xdr:row>
      <xdr:rowOff>47625</xdr:rowOff>
    </xdr:from>
    <xdr:to>
      <xdr:col>9</xdr:col>
      <xdr:colOff>219075</xdr:colOff>
      <xdr:row>16</xdr:row>
      <xdr:rowOff>95250</xdr:rowOff>
    </xdr:to>
    <xdr:sp macro="" textlink="">
      <xdr:nvSpPr>
        <xdr:cNvPr id="12" name="AutoShape 19"/>
        <xdr:cNvSpPr>
          <a:spLocks/>
        </xdr:cNvSpPr>
      </xdr:nvSpPr>
      <xdr:spPr bwMode="auto">
        <a:xfrm rot="-5400000">
          <a:off x="4429125" y="-228600"/>
          <a:ext cx="533400" cy="5295900"/>
        </a:xfrm>
        <a:prstGeom prst="leftBrace">
          <a:avLst>
            <a:gd name="adj1" fmla="val 827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123825</xdr:colOff>
      <xdr:row>16</xdr:row>
      <xdr:rowOff>142875</xdr:rowOff>
    </xdr:from>
    <xdr:to>
      <xdr:col>6</xdr:col>
      <xdr:colOff>123825</xdr:colOff>
      <xdr:row>17</xdr:row>
      <xdr:rowOff>142875</xdr:rowOff>
    </xdr:to>
    <xdr:sp macro="" textlink="">
      <xdr:nvSpPr>
        <xdr:cNvPr id="13" name="Text Box 20"/>
        <xdr:cNvSpPr txBox="1">
          <a:spLocks noChangeArrowheads="1"/>
        </xdr:cNvSpPr>
      </xdr:nvSpPr>
      <xdr:spPr bwMode="auto">
        <a:xfrm>
          <a:off x="4200525" y="2733675"/>
          <a:ext cx="762000"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6 Meter</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1838325</xdr:colOff>
      <xdr:row>7</xdr:row>
      <xdr:rowOff>85725</xdr:rowOff>
    </xdr:from>
    <xdr:to>
      <xdr:col>7</xdr:col>
      <xdr:colOff>371475</xdr:colOff>
      <xdr:row>14</xdr:row>
      <xdr:rowOff>142875</xdr:rowOff>
    </xdr:to>
    <xdr:grpSp>
      <xdr:nvGrpSpPr>
        <xdr:cNvPr id="2" name="Group 13"/>
        <xdr:cNvGrpSpPr>
          <a:grpSpLocks/>
        </xdr:cNvGrpSpPr>
      </xdr:nvGrpSpPr>
      <xdr:grpSpPr bwMode="auto">
        <a:xfrm>
          <a:off x="2600325" y="1219200"/>
          <a:ext cx="4048125" cy="1190625"/>
          <a:chOff x="273" y="128"/>
          <a:chExt cx="425" cy="125"/>
        </a:xfrm>
      </xdr:grpSpPr>
      <xdr:sp macro="" textlink="">
        <xdr:nvSpPr>
          <xdr:cNvPr id="3" name="Line 1"/>
          <xdr:cNvSpPr>
            <a:spLocks noChangeShapeType="1"/>
          </xdr:cNvSpPr>
        </xdr:nvSpPr>
        <xdr:spPr bwMode="auto">
          <a:xfrm>
            <a:off x="450" y="221"/>
            <a:ext cx="20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Text Box 2"/>
          <xdr:cNvSpPr txBox="1">
            <a:spLocks noChangeArrowheads="1"/>
          </xdr:cNvSpPr>
        </xdr:nvSpPr>
        <xdr:spPr bwMode="auto">
          <a:xfrm>
            <a:off x="528" y="223"/>
            <a:ext cx="61"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4 Meter</a:t>
            </a:r>
          </a:p>
        </xdr:txBody>
      </xdr:sp>
      <xdr:sp macro="" textlink="">
        <xdr:nvSpPr>
          <xdr:cNvPr id="5" name="Line 3"/>
          <xdr:cNvSpPr>
            <a:spLocks noChangeShapeType="1"/>
          </xdr:cNvSpPr>
        </xdr:nvSpPr>
        <xdr:spPr bwMode="auto">
          <a:xfrm>
            <a:off x="323" y="195"/>
            <a:ext cx="13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Text Box 4"/>
          <xdr:cNvSpPr txBox="1">
            <a:spLocks noChangeArrowheads="1"/>
          </xdr:cNvSpPr>
        </xdr:nvSpPr>
        <xdr:spPr bwMode="auto">
          <a:xfrm>
            <a:off x="356" y="176"/>
            <a:ext cx="53"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 Meter</a:t>
            </a:r>
          </a:p>
        </xdr:txBody>
      </xdr:sp>
      <xdr:sp macro="" textlink="">
        <xdr:nvSpPr>
          <xdr:cNvPr id="7" name="Line 5"/>
          <xdr:cNvSpPr>
            <a:spLocks noChangeShapeType="1"/>
          </xdr:cNvSpPr>
        </xdr:nvSpPr>
        <xdr:spPr bwMode="auto">
          <a:xfrm>
            <a:off x="519" y="128"/>
            <a:ext cx="0" cy="87"/>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8" name="Text Box 6"/>
          <xdr:cNvSpPr txBox="1">
            <a:spLocks noChangeArrowheads="1"/>
          </xdr:cNvSpPr>
        </xdr:nvSpPr>
        <xdr:spPr bwMode="auto">
          <a:xfrm>
            <a:off x="529" y="139"/>
            <a:ext cx="98"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FF0000"/>
                </a:solidFill>
                <a:latin typeface="Arial"/>
                <a:cs typeface="Arial"/>
              </a:rPr>
              <a:t>Schärfeebene</a:t>
            </a:r>
          </a:p>
        </xdr:txBody>
      </xdr:sp>
      <xdr:sp macro="" textlink="">
        <xdr:nvSpPr>
          <xdr:cNvPr id="9" name="Text Box 7"/>
          <xdr:cNvSpPr txBox="1">
            <a:spLocks noChangeArrowheads="1"/>
          </xdr:cNvSpPr>
        </xdr:nvSpPr>
        <xdr:spPr bwMode="auto">
          <a:xfrm>
            <a:off x="422" y="233"/>
            <a:ext cx="60"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Nahpkt.</a:t>
            </a:r>
          </a:p>
        </xdr:txBody>
      </xdr:sp>
      <xdr:sp macro="" textlink="">
        <xdr:nvSpPr>
          <xdr:cNvPr id="10" name="Text Box 8"/>
          <xdr:cNvSpPr txBox="1">
            <a:spLocks noChangeArrowheads="1"/>
          </xdr:cNvSpPr>
        </xdr:nvSpPr>
        <xdr:spPr bwMode="auto">
          <a:xfrm>
            <a:off x="273" y="161"/>
            <a:ext cx="61"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Kamera</a:t>
            </a:r>
          </a:p>
        </xdr:txBody>
      </xdr:sp>
      <xdr:sp macro="" textlink="">
        <xdr:nvSpPr>
          <xdr:cNvPr id="11" name="Line 9"/>
          <xdr:cNvSpPr>
            <a:spLocks noChangeShapeType="1"/>
          </xdr:cNvSpPr>
        </xdr:nvSpPr>
        <xdr:spPr bwMode="auto">
          <a:xfrm>
            <a:off x="325" y="145"/>
            <a:ext cx="193"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Text Box 12"/>
          <xdr:cNvSpPr txBox="1">
            <a:spLocks noChangeArrowheads="1"/>
          </xdr:cNvSpPr>
        </xdr:nvSpPr>
        <xdr:spPr bwMode="auto">
          <a:xfrm>
            <a:off x="638" y="233"/>
            <a:ext cx="60" cy="2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Fernpkt.</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6</xdr:col>
      <xdr:colOff>123825</xdr:colOff>
      <xdr:row>12</xdr:row>
      <xdr:rowOff>104775</xdr:rowOff>
    </xdr:from>
    <xdr:to>
      <xdr:col>8</xdr:col>
      <xdr:colOff>714375</xdr:colOff>
      <xdr:row>12</xdr:row>
      <xdr:rowOff>104775</xdr:rowOff>
    </xdr:to>
    <xdr:sp macro="" textlink="">
      <xdr:nvSpPr>
        <xdr:cNvPr id="2" name="Line 2"/>
        <xdr:cNvSpPr>
          <a:spLocks noChangeShapeType="1"/>
        </xdr:cNvSpPr>
      </xdr:nvSpPr>
      <xdr:spPr bwMode="auto">
        <a:xfrm>
          <a:off x="5486400" y="2047875"/>
          <a:ext cx="21145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13</xdr:row>
      <xdr:rowOff>142875</xdr:rowOff>
    </xdr:from>
    <xdr:to>
      <xdr:col>7</xdr:col>
      <xdr:colOff>695325</xdr:colOff>
      <xdr:row>15</xdr:row>
      <xdr:rowOff>9525</xdr:rowOff>
    </xdr:to>
    <xdr:sp macro="" textlink="">
      <xdr:nvSpPr>
        <xdr:cNvPr id="3" name="Text Box 3"/>
        <xdr:cNvSpPr txBox="1">
          <a:spLocks noChangeArrowheads="1"/>
        </xdr:cNvSpPr>
      </xdr:nvSpPr>
      <xdr:spPr bwMode="auto">
        <a:xfrm>
          <a:off x="6191250" y="2247900"/>
          <a:ext cx="6286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2 Meter</a:t>
          </a:r>
        </a:p>
      </xdr:txBody>
    </xdr:sp>
    <xdr:clientData/>
  </xdr:twoCellAnchor>
  <xdr:twoCellAnchor>
    <xdr:from>
      <xdr:col>2</xdr:col>
      <xdr:colOff>933450</xdr:colOff>
      <xdr:row>11</xdr:row>
      <xdr:rowOff>19050</xdr:rowOff>
    </xdr:from>
    <xdr:to>
      <xdr:col>6</xdr:col>
      <xdr:colOff>152400</xdr:colOff>
      <xdr:row>11</xdr:row>
      <xdr:rowOff>19050</xdr:rowOff>
    </xdr:to>
    <xdr:sp macro="" textlink="">
      <xdr:nvSpPr>
        <xdr:cNvPr id="4" name="Line 4"/>
        <xdr:cNvSpPr>
          <a:spLocks noChangeShapeType="1"/>
        </xdr:cNvSpPr>
      </xdr:nvSpPr>
      <xdr:spPr bwMode="auto">
        <a:xfrm>
          <a:off x="2457450" y="1800225"/>
          <a:ext cx="30575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9</xdr:row>
      <xdr:rowOff>66675</xdr:rowOff>
    </xdr:from>
    <xdr:to>
      <xdr:col>4</xdr:col>
      <xdr:colOff>542925</xdr:colOff>
      <xdr:row>10</xdr:row>
      <xdr:rowOff>95250</xdr:rowOff>
    </xdr:to>
    <xdr:sp macro="" textlink="">
      <xdr:nvSpPr>
        <xdr:cNvPr id="5" name="Text Box 5"/>
        <xdr:cNvSpPr txBox="1">
          <a:spLocks noChangeArrowheads="1"/>
        </xdr:cNvSpPr>
      </xdr:nvSpPr>
      <xdr:spPr bwMode="auto">
        <a:xfrm>
          <a:off x="3838575" y="1524000"/>
          <a:ext cx="54292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5 Meter</a:t>
          </a:r>
        </a:p>
      </xdr:txBody>
    </xdr:sp>
    <xdr:clientData/>
  </xdr:twoCellAnchor>
  <xdr:twoCellAnchor>
    <xdr:from>
      <xdr:col>7</xdr:col>
      <xdr:colOff>390525</xdr:colOff>
      <xdr:row>7</xdr:row>
      <xdr:rowOff>19050</xdr:rowOff>
    </xdr:from>
    <xdr:to>
      <xdr:col>7</xdr:col>
      <xdr:colOff>390525</xdr:colOff>
      <xdr:row>12</xdr:row>
      <xdr:rowOff>38100</xdr:rowOff>
    </xdr:to>
    <xdr:sp macro="" textlink="">
      <xdr:nvSpPr>
        <xdr:cNvPr id="6" name="Line 7"/>
        <xdr:cNvSpPr>
          <a:spLocks noChangeShapeType="1"/>
        </xdr:cNvSpPr>
      </xdr:nvSpPr>
      <xdr:spPr bwMode="auto">
        <a:xfrm>
          <a:off x="6515100" y="1152525"/>
          <a:ext cx="0" cy="82867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476250</xdr:colOff>
      <xdr:row>7</xdr:row>
      <xdr:rowOff>114300</xdr:rowOff>
    </xdr:from>
    <xdr:to>
      <xdr:col>8</xdr:col>
      <xdr:colOff>733425</xdr:colOff>
      <xdr:row>8</xdr:row>
      <xdr:rowOff>142875</xdr:rowOff>
    </xdr:to>
    <xdr:sp macro="" textlink="">
      <xdr:nvSpPr>
        <xdr:cNvPr id="7" name="Text Box 8"/>
        <xdr:cNvSpPr txBox="1">
          <a:spLocks noChangeArrowheads="1"/>
        </xdr:cNvSpPr>
      </xdr:nvSpPr>
      <xdr:spPr bwMode="auto">
        <a:xfrm>
          <a:off x="6600825" y="1247775"/>
          <a:ext cx="10191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FF0000"/>
              </a:solidFill>
              <a:latin typeface="Arial"/>
              <a:cs typeface="Arial"/>
            </a:rPr>
            <a:t>Schärfeebene</a:t>
          </a:r>
        </a:p>
      </xdr:txBody>
    </xdr:sp>
    <xdr:clientData/>
  </xdr:twoCellAnchor>
  <xdr:twoCellAnchor>
    <xdr:from>
      <xdr:col>8</xdr:col>
      <xdr:colOff>523875</xdr:colOff>
      <xdr:row>13</xdr:row>
      <xdr:rowOff>38100</xdr:rowOff>
    </xdr:from>
    <xdr:to>
      <xdr:col>9</xdr:col>
      <xdr:colOff>390525</xdr:colOff>
      <xdr:row>14</xdr:row>
      <xdr:rowOff>66675</xdr:rowOff>
    </xdr:to>
    <xdr:sp macro="" textlink="">
      <xdr:nvSpPr>
        <xdr:cNvPr id="8" name="Text Box 9"/>
        <xdr:cNvSpPr txBox="1">
          <a:spLocks noChangeArrowheads="1"/>
        </xdr:cNvSpPr>
      </xdr:nvSpPr>
      <xdr:spPr bwMode="auto">
        <a:xfrm>
          <a:off x="7410450" y="2143125"/>
          <a:ext cx="6286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Fernpkt.</a:t>
          </a:r>
        </a:p>
      </xdr:txBody>
    </xdr:sp>
    <xdr:clientData/>
  </xdr:twoCellAnchor>
  <xdr:twoCellAnchor>
    <xdr:from>
      <xdr:col>5</xdr:col>
      <xdr:colOff>590550</xdr:colOff>
      <xdr:row>13</xdr:row>
      <xdr:rowOff>57150</xdr:rowOff>
    </xdr:from>
    <xdr:to>
      <xdr:col>6</xdr:col>
      <xdr:colOff>457200</xdr:colOff>
      <xdr:row>14</xdr:row>
      <xdr:rowOff>85725</xdr:rowOff>
    </xdr:to>
    <xdr:sp macro="" textlink="">
      <xdr:nvSpPr>
        <xdr:cNvPr id="9" name="Text Box 10"/>
        <xdr:cNvSpPr txBox="1">
          <a:spLocks noChangeArrowheads="1"/>
        </xdr:cNvSpPr>
      </xdr:nvSpPr>
      <xdr:spPr bwMode="auto">
        <a:xfrm>
          <a:off x="5191125" y="2162175"/>
          <a:ext cx="6286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Nahpkt.</a:t>
          </a:r>
        </a:p>
      </xdr:txBody>
    </xdr:sp>
    <xdr:clientData/>
  </xdr:twoCellAnchor>
  <xdr:twoCellAnchor>
    <xdr:from>
      <xdr:col>2</xdr:col>
      <xdr:colOff>238125</xdr:colOff>
      <xdr:row>10</xdr:row>
      <xdr:rowOff>76200</xdr:rowOff>
    </xdr:from>
    <xdr:to>
      <xdr:col>2</xdr:col>
      <xdr:colOff>866775</xdr:colOff>
      <xdr:row>11</xdr:row>
      <xdr:rowOff>104775</xdr:rowOff>
    </xdr:to>
    <xdr:sp macro="" textlink="">
      <xdr:nvSpPr>
        <xdr:cNvPr id="10" name="Text Box 11"/>
        <xdr:cNvSpPr txBox="1">
          <a:spLocks noChangeArrowheads="1"/>
        </xdr:cNvSpPr>
      </xdr:nvSpPr>
      <xdr:spPr bwMode="auto">
        <a:xfrm>
          <a:off x="1762125" y="1695450"/>
          <a:ext cx="6286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Kamera</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95250</xdr:colOff>
      <xdr:row>1</xdr:row>
      <xdr:rowOff>133350</xdr:rowOff>
    </xdr:from>
    <xdr:to>
      <xdr:col>9</xdr:col>
      <xdr:colOff>561975</xdr:colOff>
      <xdr:row>12</xdr:row>
      <xdr:rowOff>57150</xdr:rowOff>
    </xdr:to>
    <xdr:grpSp>
      <xdr:nvGrpSpPr>
        <xdr:cNvPr id="2" name="Gruppieren 1"/>
        <xdr:cNvGrpSpPr>
          <a:grpSpLocks/>
        </xdr:cNvGrpSpPr>
      </xdr:nvGrpSpPr>
      <xdr:grpSpPr bwMode="auto">
        <a:xfrm>
          <a:off x="4552950" y="295275"/>
          <a:ext cx="3514725" cy="1704975"/>
          <a:chOff x="3762375" y="12177712"/>
          <a:chExt cx="3509961" cy="1706563"/>
        </a:xfrm>
      </xdr:grpSpPr>
      <xdr:grpSp>
        <xdr:nvGrpSpPr>
          <xdr:cNvPr id="3" name="Gruppieren 2"/>
          <xdr:cNvGrpSpPr>
            <a:grpSpLocks/>
          </xdr:cNvGrpSpPr>
        </xdr:nvGrpSpPr>
        <xdr:grpSpPr bwMode="auto">
          <a:xfrm>
            <a:off x="5841999" y="12525375"/>
            <a:ext cx="285751" cy="492125"/>
            <a:chOff x="5754687" y="12684125"/>
            <a:chExt cx="285751" cy="492125"/>
          </a:xfrm>
        </xdr:grpSpPr>
        <xdr:sp macro="" textlink="">
          <xdr:nvSpPr>
            <xdr:cNvPr id="13" name="Ellipse 12"/>
            <xdr:cNvSpPr>
              <a:spLocks noChangeArrowheads="1"/>
            </xdr:cNvSpPr>
          </xdr:nvSpPr>
          <xdr:spPr bwMode="auto">
            <a:xfrm>
              <a:off x="5818188" y="12684125"/>
              <a:ext cx="222250" cy="492125"/>
            </a:xfrm>
            <a:prstGeom prst="ellipse">
              <a:avLst/>
            </a:prstGeom>
            <a:solidFill>
              <a:srgbClr val="FFFFFF"/>
            </a:solidFill>
            <a:ln w="9525" algn="ctr">
              <a:solidFill>
                <a:srgbClr val="000000"/>
              </a:solidFill>
              <a:round/>
              <a:headEnd/>
              <a:tailEnd/>
            </a:ln>
          </xdr:spPr>
        </xdr:sp>
        <xdr:sp macro="" textlink="">
          <xdr:nvSpPr>
            <xdr:cNvPr id="14" name="Ellipse 13"/>
            <xdr:cNvSpPr>
              <a:spLocks noChangeArrowheads="1"/>
            </xdr:cNvSpPr>
          </xdr:nvSpPr>
          <xdr:spPr bwMode="auto">
            <a:xfrm>
              <a:off x="5754687" y="12850813"/>
              <a:ext cx="254000" cy="174625"/>
            </a:xfrm>
            <a:prstGeom prst="ellipse">
              <a:avLst/>
            </a:prstGeom>
            <a:solidFill>
              <a:srgbClr val="FFFFFF"/>
            </a:solidFill>
            <a:ln w="9525" algn="ctr">
              <a:solidFill>
                <a:srgbClr val="000000"/>
              </a:solidFill>
              <a:round/>
              <a:headEnd/>
              <a:tailEnd/>
            </a:ln>
          </xdr:spPr>
        </xdr:sp>
      </xdr:grpSp>
      <xdr:grpSp>
        <xdr:nvGrpSpPr>
          <xdr:cNvPr id="4" name="Gruppieren 3"/>
          <xdr:cNvGrpSpPr>
            <a:grpSpLocks/>
          </xdr:cNvGrpSpPr>
        </xdr:nvGrpSpPr>
        <xdr:grpSpPr bwMode="auto">
          <a:xfrm>
            <a:off x="6954837" y="13058775"/>
            <a:ext cx="285751" cy="492125"/>
            <a:chOff x="5754687" y="12684125"/>
            <a:chExt cx="285751" cy="492125"/>
          </a:xfrm>
        </xdr:grpSpPr>
        <xdr:sp macro="" textlink="">
          <xdr:nvSpPr>
            <xdr:cNvPr id="11" name="Ellipse 10"/>
            <xdr:cNvSpPr>
              <a:spLocks noChangeArrowheads="1"/>
            </xdr:cNvSpPr>
          </xdr:nvSpPr>
          <xdr:spPr bwMode="auto">
            <a:xfrm>
              <a:off x="5818188" y="12684125"/>
              <a:ext cx="222250" cy="492125"/>
            </a:xfrm>
            <a:prstGeom prst="ellipse">
              <a:avLst/>
            </a:prstGeom>
            <a:solidFill>
              <a:srgbClr val="FFFFFF"/>
            </a:solidFill>
            <a:ln w="9525" algn="ctr">
              <a:solidFill>
                <a:srgbClr val="000000"/>
              </a:solidFill>
              <a:round/>
              <a:headEnd/>
              <a:tailEnd/>
            </a:ln>
          </xdr:spPr>
        </xdr:sp>
        <xdr:sp macro="" textlink="">
          <xdr:nvSpPr>
            <xdr:cNvPr id="12" name="Ellipse 11"/>
            <xdr:cNvSpPr>
              <a:spLocks noChangeArrowheads="1"/>
            </xdr:cNvSpPr>
          </xdr:nvSpPr>
          <xdr:spPr bwMode="auto">
            <a:xfrm>
              <a:off x="5754687" y="12850813"/>
              <a:ext cx="254000" cy="174625"/>
            </a:xfrm>
            <a:prstGeom prst="ellipse">
              <a:avLst/>
            </a:prstGeom>
            <a:solidFill>
              <a:srgbClr val="FFFFFF"/>
            </a:solidFill>
            <a:ln w="9525" algn="ctr">
              <a:solidFill>
                <a:srgbClr val="000000"/>
              </a:solidFill>
              <a:round/>
              <a:headEnd/>
              <a:tailEnd/>
            </a:ln>
          </xdr:spPr>
        </xdr:sp>
      </xdr:grpSp>
      <xdr:grpSp>
        <xdr:nvGrpSpPr>
          <xdr:cNvPr id="5" name="Gruppieren 4"/>
          <xdr:cNvGrpSpPr>
            <a:grpSpLocks/>
          </xdr:cNvGrpSpPr>
        </xdr:nvGrpSpPr>
        <xdr:grpSpPr bwMode="auto">
          <a:xfrm>
            <a:off x="3762375" y="13025438"/>
            <a:ext cx="501650" cy="484187"/>
            <a:chOff x="3563938" y="13073063"/>
            <a:chExt cx="501650" cy="484187"/>
          </a:xfrm>
        </xdr:grpSpPr>
        <xdr:sp macro="" textlink="">
          <xdr:nvSpPr>
            <xdr:cNvPr id="9" name="Rechteck 8"/>
            <xdr:cNvSpPr>
              <a:spLocks noChangeArrowheads="1"/>
            </xdr:cNvSpPr>
          </xdr:nvSpPr>
          <xdr:spPr bwMode="auto">
            <a:xfrm>
              <a:off x="3563938" y="13073063"/>
              <a:ext cx="254000" cy="484187"/>
            </a:xfrm>
            <a:prstGeom prst="rect">
              <a:avLst/>
            </a:prstGeom>
            <a:solidFill>
              <a:srgbClr val="FFFFFF"/>
            </a:solidFill>
            <a:ln w="9525" algn="ctr">
              <a:solidFill>
                <a:srgbClr val="000000"/>
              </a:solidFill>
              <a:round/>
              <a:headEnd/>
              <a:tailEnd/>
            </a:ln>
          </xdr:spPr>
        </xdr:sp>
        <xdr:sp macro="" textlink="">
          <xdr:nvSpPr>
            <xdr:cNvPr id="10" name="Rechteck 9"/>
            <xdr:cNvSpPr>
              <a:spLocks noChangeArrowheads="1"/>
            </xdr:cNvSpPr>
          </xdr:nvSpPr>
          <xdr:spPr bwMode="auto">
            <a:xfrm>
              <a:off x="3811588" y="13247688"/>
              <a:ext cx="254000" cy="136525"/>
            </a:xfrm>
            <a:prstGeom prst="rect">
              <a:avLst/>
            </a:prstGeom>
            <a:solidFill>
              <a:srgbClr val="FFFFFF"/>
            </a:solidFill>
            <a:ln w="9525" algn="ctr">
              <a:solidFill>
                <a:srgbClr val="000000"/>
              </a:solidFill>
              <a:round/>
              <a:headEnd/>
              <a:tailEnd/>
            </a:ln>
          </xdr:spPr>
        </xdr:sp>
      </xdr:grpSp>
      <xdr:cxnSp macro="">
        <xdr:nvCxnSpPr>
          <xdr:cNvPr id="6" name="Gerade Verbindung 5"/>
          <xdr:cNvCxnSpPr>
            <a:cxnSpLocks noChangeShapeType="1"/>
          </xdr:cNvCxnSpPr>
        </xdr:nvCxnSpPr>
        <xdr:spPr bwMode="auto">
          <a:xfrm>
            <a:off x="5802316" y="12192000"/>
            <a:ext cx="0" cy="167481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7" name="Gerade Verbindung 6"/>
          <xdr:cNvCxnSpPr>
            <a:cxnSpLocks noChangeShapeType="1"/>
          </xdr:cNvCxnSpPr>
        </xdr:nvCxnSpPr>
        <xdr:spPr bwMode="auto">
          <a:xfrm>
            <a:off x="7272336" y="12177712"/>
            <a:ext cx="0" cy="167481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 name="Gerade Verbindung 7"/>
          <xdr:cNvCxnSpPr/>
        </xdr:nvCxnSpPr>
        <xdr:spPr bwMode="auto">
          <a:xfrm>
            <a:off x="6406736" y="12206314"/>
            <a:ext cx="0" cy="1677961"/>
          </a:xfrm>
          <a:prstGeom prst="line">
            <a:avLst/>
          </a:prstGeom>
          <a:ln>
            <a:prstDash val="dashDot"/>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375227</xdr:colOff>
      <xdr:row>110</xdr:row>
      <xdr:rowOff>54841</xdr:rowOff>
    </xdr:from>
    <xdr:to>
      <xdr:col>11</xdr:col>
      <xdr:colOff>54841</xdr:colOff>
      <xdr:row>127</xdr:row>
      <xdr:rowOff>63500</xdr:rowOff>
    </xdr:to>
    <xdr:sp macro="" textlink="">
      <xdr:nvSpPr>
        <xdr:cNvPr id="2" name="Rechteck 1"/>
        <xdr:cNvSpPr/>
      </xdr:nvSpPr>
      <xdr:spPr>
        <a:xfrm>
          <a:off x="8366702" y="21028891"/>
          <a:ext cx="2365664" cy="32471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431510</xdr:colOff>
      <xdr:row>110</xdr:row>
      <xdr:rowOff>167409</xdr:rowOff>
    </xdr:from>
    <xdr:to>
      <xdr:col>11</xdr:col>
      <xdr:colOff>102561</xdr:colOff>
      <xdr:row>123</xdr:row>
      <xdr:rowOff>185305</xdr:rowOff>
    </xdr:to>
    <xdr:grpSp>
      <xdr:nvGrpSpPr>
        <xdr:cNvPr id="3" name="Gruppieren 2"/>
        <xdr:cNvGrpSpPr/>
      </xdr:nvGrpSpPr>
      <xdr:grpSpPr>
        <a:xfrm>
          <a:off x="8421927" y="21143576"/>
          <a:ext cx="2359217" cy="2494396"/>
          <a:chOff x="5342177" y="21143576"/>
          <a:chExt cx="2359218" cy="2494396"/>
        </a:xfrm>
      </xdr:grpSpPr>
      <xdr:sp macro="" textlink="">
        <xdr:nvSpPr>
          <xdr:cNvPr id="4" name="Rechteck 3"/>
          <xdr:cNvSpPr/>
        </xdr:nvSpPr>
        <xdr:spPr>
          <a:xfrm>
            <a:off x="5342177" y="21143576"/>
            <a:ext cx="220326"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Rechteck 4"/>
          <xdr:cNvSpPr/>
        </xdr:nvSpPr>
        <xdr:spPr>
          <a:xfrm>
            <a:off x="5581650" y="21145403"/>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 name="Rechteck 5"/>
          <xdr:cNvSpPr/>
        </xdr:nvSpPr>
        <xdr:spPr>
          <a:xfrm>
            <a:off x="5801399" y="21154448"/>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 name="Rechteck 6"/>
          <xdr:cNvSpPr/>
        </xdr:nvSpPr>
        <xdr:spPr>
          <a:xfrm>
            <a:off x="6024995" y="21173594"/>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 name="Rechteck 7"/>
          <xdr:cNvSpPr/>
        </xdr:nvSpPr>
        <xdr:spPr>
          <a:xfrm>
            <a:off x="6248111" y="21164839"/>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 name="Rechteck 8"/>
          <xdr:cNvSpPr/>
        </xdr:nvSpPr>
        <xdr:spPr>
          <a:xfrm>
            <a:off x="6477000" y="21175326"/>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Rechteck 9"/>
          <xdr:cNvSpPr/>
        </xdr:nvSpPr>
        <xdr:spPr>
          <a:xfrm>
            <a:off x="6707332" y="21171862"/>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xdr:cNvSpPr/>
        </xdr:nvSpPr>
        <xdr:spPr>
          <a:xfrm>
            <a:off x="6939107" y="21173209"/>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Rechteck 11"/>
          <xdr:cNvSpPr/>
        </xdr:nvSpPr>
        <xdr:spPr>
          <a:xfrm>
            <a:off x="7164148" y="21164935"/>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 name="Rechteck 12"/>
          <xdr:cNvSpPr/>
        </xdr:nvSpPr>
        <xdr:spPr>
          <a:xfrm>
            <a:off x="7394479" y="21171573"/>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 name="Rechteck 13"/>
          <xdr:cNvSpPr/>
        </xdr:nvSpPr>
        <xdr:spPr>
          <a:xfrm rot="5400000">
            <a:off x="5749637" y="21556326"/>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Rechteck 14"/>
          <xdr:cNvSpPr/>
        </xdr:nvSpPr>
        <xdr:spPr>
          <a:xfrm>
            <a:off x="7027718" y="22851726"/>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 name="Rechteck 15"/>
          <xdr:cNvSpPr/>
        </xdr:nvSpPr>
        <xdr:spPr>
          <a:xfrm>
            <a:off x="7180118" y="23004126"/>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7" name="Rechteck 16"/>
          <xdr:cNvSpPr/>
        </xdr:nvSpPr>
        <xdr:spPr>
          <a:xfrm>
            <a:off x="7332518" y="23156526"/>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8" name="Rechteck 17"/>
          <xdr:cNvSpPr/>
        </xdr:nvSpPr>
        <xdr:spPr>
          <a:xfrm>
            <a:off x="7484918" y="23308926"/>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9" name="Rechteck 18"/>
          <xdr:cNvSpPr/>
        </xdr:nvSpPr>
        <xdr:spPr>
          <a:xfrm rot="5400000">
            <a:off x="6101196" y="21570181"/>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 name="Rechteck 19"/>
          <xdr:cNvSpPr/>
        </xdr:nvSpPr>
        <xdr:spPr>
          <a:xfrm rot="5400000">
            <a:off x="6781801" y="21566718"/>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1" name="Rechteck 20"/>
          <xdr:cNvSpPr/>
        </xdr:nvSpPr>
        <xdr:spPr>
          <a:xfrm rot="5400000">
            <a:off x="6449291" y="21571912"/>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2" name="Rechteck 21"/>
          <xdr:cNvSpPr/>
        </xdr:nvSpPr>
        <xdr:spPr>
          <a:xfrm rot="5400000">
            <a:off x="5413472" y="21566524"/>
            <a:ext cx="216477" cy="33289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3" name="Rechteck 22"/>
          <xdr:cNvSpPr/>
        </xdr:nvSpPr>
        <xdr:spPr>
          <a:xfrm rot="5400000">
            <a:off x="7116041" y="21571914"/>
            <a:ext cx="216477" cy="32904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7</xdr:col>
      <xdr:colOff>335781</xdr:colOff>
      <xdr:row>127</xdr:row>
      <xdr:rowOff>187614</xdr:rowOff>
    </xdr:from>
    <xdr:to>
      <xdr:col>10</xdr:col>
      <xdr:colOff>271319</xdr:colOff>
      <xdr:row>129</xdr:row>
      <xdr:rowOff>5773</xdr:rowOff>
    </xdr:to>
    <xdr:sp macro="" textlink="">
      <xdr:nvSpPr>
        <xdr:cNvPr id="24" name="Rechteck 23"/>
        <xdr:cNvSpPr/>
      </xdr:nvSpPr>
      <xdr:spPr>
        <a:xfrm>
          <a:off x="8327256" y="24400164"/>
          <a:ext cx="2335838" cy="19915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151053</xdr:colOff>
      <xdr:row>110</xdr:row>
      <xdr:rowOff>55804</xdr:rowOff>
    </xdr:from>
    <xdr:to>
      <xdr:col>11</xdr:col>
      <xdr:colOff>332894</xdr:colOff>
      <xdr:row>127</xdr:row>
      <xdr:rowOff>73122</xdr:rowOff>
    </xdr:to>
    <xdr:sp macro="" textlink="">
      <xdr:nvSpPr>
        <xdr:cNvPr id="25" name="Rechteck 24"/>
        <xdr:cNvSpPr/>
      </xdr:nvSpPr>
      <xdr:spPr>
        <a:xfrm>
          <a:off x="10828578" y="21029854"/>
          <a:ext cx="181841" cy="3255818"/>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256422</xdr:colOff>
      <xdr:row>149</xdr:row>
      <xdr:rowOff>85990</xdr:rowOff>
    </xdr:from>
    <xdr:to>
      <xdr:col>6</xdr:col>
      <xdr:colOff>1259417</xdr:colOff>
      <xdr:row>168</xdr:row>
      <xdr:rowOff>31750</xdr:rowOff>
    </xdr:to>
    <xdr:grpSp>
      <xdr:nvGrpSpPr>
        <xdr:cNvPr id="26" name="Gruppieren 25"/>
        <xdr:cNvGrpSpPr/>
      </xdr:nvGrpSpPr>
      <xdr:grpSpPr>
        <a:xfrm>
          <a:off x="4521505" y="28491657"/>
          <a:ext cx="2907995" cy="3565260"/>
          <a:chOff x="5579839" y="27721719"/>
          <a:chExt cx="2024287" cy="3115468"/>
        </a:xfrm>
      </xdr:grpSpPr>
      <xdr:sp macro="" textlink="">
        <xdr:nvSpPr>
          <xdr:cNvPr id="27" name="Rechteck 26"/>
          <xdr:cNvSpPr/>
        </xdr:nvSpPr>
        <xdr:spPr>
          <a:xfrm rot="16200000">
            <a:off x="5049574" y="28253531"/>
            <a:ext cx="3077104" cy="20134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8" name="Rechteck 27"/>
          <xdr:cNvSpPr/>
        </xdr:nvSpPr>
        <xdr:spPr>
          <a:xfrm rot="16200000">
            <a:off x="5155296" y="28388357"/>
            <a:ext cx="2873373" cy="2024287"/>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0</xdr:col>
      <xdr:colOff>304800</xdr:colOff>
      <xdr:row>185</xdr:row>
      <xdr:rowOff>66675</xdr:rowOff>
    </xdr:from>
    <xdr:to>
      <xdr:col>3</xdr:col>
      <xdr:colOff>685800</xdr:colOff>
      <xdr:row>202</xdr:row>
      <xdr:rowOff>123825</xdr:rowOff>
    </xdr:to>
    <xdr:pic>
      <xdr:nvPicPr>
        <xdr:cNvPr id="2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524000"/>
          <a:ext cx="2667000"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352425</xdr:colOff>
      <xdr:row>185</xdr:row>
      <xdr:rowOff>123825</xdr:rowOff>
    </xdr:from>
    <xdr:to>
      <xdr:col>7</xdr:col>
      <xdr:colOff>733425</xdr:colOff>
      <xdr:row>203</xdr:row>
      <xdr:rowOff>19050</xdr:rowOff>
    </xdr:to>
    <xdr:pic>
      <xdr:nvPicPr>
        <xdr:cNvPr id="3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0425" y="1581150"/>
          <a:ext cx="2667000"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205</xdr:row>
      <xdr:rowOff>9525</xdr:rowOff>
    </xdr:from>
    <xdr:to>
      <xdr:col>3</xdr:col>
      <xdr:colOff>704850</xdr:colOff>
      <xdr:row>222</xdr:row>
      <xdr:rowOff>0</xdr:rowOff>
    </xdr:to>
    <xdr:pic>
      <xdr:nvPicPr>
        <xdr:cNvPr id="31"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 y="4705350"/>
          <a:ext cx="26384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204</xdr:row>
      <xdr:rowOff>133350</xdr:rowOff>
    </xdr:from>
    <xdr:to>
      <xdr:col>7</xdr:col>
      <xdr:colOff>733425</xdr:colOff>
      <xdr:row>221</xdr:row>
      <xdr:rowOff>123825</xdr:rowOff>
    </xdr:to>
    <xdr:pic>
      <xdr:nvPicPr>
        <xdr:cNvPr id="32"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29000" y="4667250"/>
          <a:ext cx="26384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314325</xdr:colOff>
      <xdr:row>260</xdr:row>
      <xdr:rowOff>66675</xdr:rowOff>
    </xdr:from>
    <xdr:to>
      <xdr:col>13</xdr:col>
      <xdr:colOff>571500</xdr:colOff>
      <xdr:row>262</xdr:row>
      <xdr:rowOff>104775</xdr:rowOff>
    </xdr:to>
    <xdr:sp macro="" textlink="">
      <xdr:nvSpPr>
        <xdr:cNvPr id="33" name="Rechteck 27"/>
        <xdr:cNvSpPr>
          <a:spLocks noChangeAspect="1" noChangeArrowheads="1"/>
        </xdr:cNvSpPr>
      </xdr:nvSpPr>
      <xdr:spPr bwMode="auto">
        <a:xfrm>
          <a:off x="10220325" y="13668375"/>
          <a:ext cx="257175" cy="361950"/>
        </a:xfrm>
        <a:prstGeom prst="rect">
          <a:avLst/>
        </a:prstGeom>
        <a:solidFill>
          <a:srgbClr val="4F81BD"/>
        </a:solidFill>
        <a:ln w="25400" algn="ctr">
          <a:solidFill>
            <a:srgbClr val="385D8A"/>
          </a:solidFill>
          <a:miter lim="800000"/>
          <a:headEnd/>
          <a:tailEnd/>
        </a:ln>
      </xdr:spPr>
    </xdr:sp>
    <xdr:clientData/>
  </xdr:twoCellAnchor>
  <xdr:twoCellAnchor>
    <xdr:from>
      <xdr:col>12</xdr:col>
      <xdr:colOff>419100</xdr:colOff>
      <xdr:row>255</xdr:row>
      <xdr:rowOff>104775</xdr:rowOff>
    </xdr:from>
    <xdr:to>
      <xdr:col>12</xdr:col>
      <xdr:colOff>609600</xdr:colOff>
      <xdr:row>266</xdr:row>
      <xdr:rowOff>47625</xdr:rowOff>
    </xdr:to>
    <xdr:grpSp>
      <xdr:nvGrpSpPr>
        <xdr:cNvPr id="34" name="Group 122"/>
        <xdr:cNvGrpSpPr>
          <a:grpSpLocks/>
        </xdr:cNvGrpSpPr>
      </xdr:nvGrpSpPr>
      <xdr:grpSpPr bwMode="auto">
        <a:xfrm>
          <a:off x="11859683" y="48703442"/>
          <a:ext cx="190500" cy="2038350"/>
          <a:chOff x="1769" y="1009"/>
          <a:chExt cx="20" cy="181"/>
        </a:xfrm>
      </xdr:grpSpPr>
      <xdr:sp macro="" textlink="">
        <xdr:nvSpPr>
          <xdr:cNvPr id="35" name="Rechteck 3"/>
          <xdr:cNvSpPr/>
        </xdr:nvSpPr>
        <xdr:spPr>
          <a:xfrm rot="16200000">
            <a:off x="1761" y="1090"/>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36" name="Rechteck 4"/>
          <xdr:cNvSpPr/>
        </xdr:nvSpPr>
        <xdr:spPr>
          <a:xfrm rot="16200000">
            <a:off x="1761" y="1053"/>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37" name="Rechteck 5"/>
          <xdr:cNvSpPr/>
        </xdr:nvSpPr>
        <xdr:spPr>
          <a:xfrm rot="16200000">
            <a:off x="1762" y="1016"/>
            <a:ext cx="34"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38" name="Rechteck 7"/>
          <xdr:cNvSpPr/>
        </xdr:nvSpPr>
        <xdr:spPr>
          <a:xfrm rot="16200000">
            <a:off x="1761" y="1127"/>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39" name="Rechteck 8"/>
          <xdr:cNvSpPr/>
        </xdr:nvSpPr>
        <xdr:spPr>
          <a:xfrm rot="16200000">
            <a:off x="1762" y="1163"/>
            <a:ext cx="34"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clientData/>
  </xdr:twoCellAnchor>
  <xdr:twoCellAnchor>
    <xdr:from>
      <xdr:col>12</xdr:col>
      <xdr:colOff>447675</xdr:colOff>
      <xdr:row>267</xdr:row>
      <xdr:rowOff>95250</xdr:rowOff>
    </xdr:from>
    <xdr:to>
      <xdr:col>14</xdr:col>
      <xdr:colOff>352425</xdr:colOff>
      <xdr:row>269</xdr:row>
      <xdr:rowOff>0</xdr:rowOff>
    </xdr:to>
    <xdr:grpSp>
      <xdr:nvGrpSpPr>
        <xdr:cNvPr id="40" name="Group 128"/>
        <xdr:cNvGrpSpPr>
          <a:grpSpLocks/>
        </xdr:cNvGrpSpPr>
      </xdr:nvGrpSpPr>
      <xdr:grpSpPr bwMode="auto">
        <a:xfrm>
          <a:off x="11888258" y="50979917"/>
          <a:ext cx="1428750" cy="285750"/>
          <a:chOff x="1802" y="1165"/>
          <a:chExt cx="150" cy="24"/>
        </a:xfrm>
      </xdr:grpSpPr>
      <xdr:sp macro="" textlink="">
        <xdr:nvSpPr>
          <xdr:cNvPr id="41" name="Rechteck 14"/>
          <xdr:cNvSpPr/>
        </xdr:nvSpPr>
        <xdr:spPr>
          <a:xfrm>
            <a:off x="1878" y="1165"/>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42" name="Rechteck 18"/>
          <xdr:cNvSpPr/>
        </xdr:nvSpPr>
        <xdr:spPr>
          <a:xfrm>
            <a:off x="1840" y="1165"/>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43" name="Rechteck 19"/>
          <xdr:cNvSpPr/>
        </xdr:nvSpPr>
        <xdr:spPr>
          <a:xfrm>
            <a:off x="1802" y="1165"/>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44" name="Rechteck 24"/>
          <xdr:cNvSpPr/>
        </xdr:nvSpPr>
        <xdr:spPr>
          <a:xfrm>
            <a:off x="1917" y="1165"/>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clientData/>
  </xdr:twoCellAnchor>
  <xdr:twoCellAnchor>
    <xdr:from>
      <xdr:col>13</xdr:col>
      <xdr:colOff>76200</xdr:colOff>
      <xdr:row>264</xdr:row>
      <xdr:rowOff>47625</xdr:rowOff>
    </xdr:from>
    <xdr:to>
      <xdr:col>14</xdr:col>
      <xdr:colOff>323850</xdr:colOff>
      <xdr:row>266</xdr:row>
      <xdr:rowOff>57150</xdr:rowOff>
    </xdr:to>
    <xdr:grpSp>
      <xdr:nvGrpSpPr>
        <xdr:cNvPr id="45" name="Group 133"/>
        <xdr:cNvGrpSpPr>
          <a:grpSpLocks/>
        </xdr:cNvGrpSpPr>
      </xdr:nvGrpSpPr>
      <xdr:grpSpPr bwMode="auto">
        <a:xfrm>
          <a:off x="12278783" y="50360792"/>
          <a:ext cx="1009650" cy="390525"/>
          <a:chOff x="1845" y="941"/>
          <a:chExt cx="106" cy="35"/>
        </a:xfrm>
      </xdr:grpSpPr>
      <xdr:sp macro="" textlink="">
        <xdr:nvSpPr>
          <xdr:cNvPr id="46" name="Rechteck 6"/>
          <xdr:cNvSpPr/>
        </xdr:nvSpPr>
        <xdr:spPr>
          <a:xfrm rot="16200000">
            <a:off x="1923" y="949"/>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47" name="Rechteck 6"/>
          <xdr:cNvSpPr/>
        </xdr:nvSpPr>
        <xdr:spPr>
          <a:xfrm rot="16200000">
            <a:off x="1901" y="949"/>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48" name="Rechteck 6"/>
          <xdr:cNvSpPr/>
        </xdr:nvSpPr>
        <xdr:spPr>
          <a:xfrm rot="16200000">
            <a:off x="1879" y="949"/>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49" name="Rechteck 6"/>
          <xdr:cNvSpPr/>
        </xdr:nvSpPr>
        <xdr:spPr>
          <a:xfrm rot="16200000">
            <a:off x="1858" y="949"/>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50" name="Rechteck 6"/>
          <xdr:cNvSpPr/>
        </xdr:nvSpPr>
        <xdr:spPr>
          <a:xfrm rot="16200000">
            <a:off x="1837" y="949"/>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clientData/>
  </xdr:twoCellAnchor>
  <xdr:twoCellAnchor>
    <xdr:from>
      <xdr:col>11</xdr:col>
      <xdr:colOff>581025</xdr:colOff>
      <xdr:row>234</xdr:row>
      <xdr:rowOff>95250</xdr:rowOff>
    </xdr:from>
    <xdr:to>
      <xdr:col>14</xdr:col>
      <xdr:colOff>657225</xdr:colOff>
      <xdr:row>251</xdr:row>
      <xdr:rowOff>0</xdr:rowOff>
    </xdr:to>
    <xdr:grpSp>
      <xdr:nvGrpSpPr>
        <xdr:cNvPr id="51" name="Group 139"/>
        <xdr:cNvGrpSpPr>
          <a:grpSpLocks/>
        </xdr:cNvGrpSpPr>
      </xdr:nvGrpSpPr>
      <xdr:grpSpPr bwMode="auto">
        <a:xfrm>
          <a:off x="11259608" y="44693417"/>
          <a:ext cx="2362200" cy="3143250"/>
          <a:chOff x="2430" y="899"/>
          <a:chExt cx="248" cy="279"/>
        </a:xfrm>
      </xdr:grpSpPr>
      <xdr:sp macro="" textlink="">
        <xdr:nvSpPr>
          <xdr:cNvPr id="52" name="Textfeld 2"/>
          <xdr:cNvSpPr txBox="1">
            <a:spLocks noChangeArrowheads="1"/>
          </xdr:cNvSpPr>
        </xdr:nvSpPr>
        <xdr:spPr bwMode="auto">
          <a:xfrm>
            <a:off x="2632" y="1006"/>
            <a:ext cx="46" cy="36"/>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de-DE" sz="1100" b="0" i="0" u="none" strike="noStrike" baseline="0">
                <a:solidFill>
                  <a:srgbClr val="000000"/>
                </a:solidFill>
                <a:latin typeface="Calibri"/>
                <a:cs typeface="Calibri"/>
              </a:rPr>
              <a:t>76 cm</a:t>
            </a:r>
          </a:p>
        </xdr:txBody>
      </xdr:sp>
      <xdr:sp macro="" textlink="">
        <xdr:nvSpPr>
          <xdr:cNvPr id="53" name="Textfeld 3"/>
          <xdr:cNvSpPr txBox="1">
            <a:spLocks noChangeArrowheads="1"/>
          </xdr:cNvSpPr>
        </xdr:nvSpPr>
        <xdr:spPr bwMode="auto">
          <a:xfrm>
            <a:off x="2505" y="1151"/>
            <a:ext cx="50" cy="27"/>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de-DE" sz="1100" b="0" i="0" u="none" strike="noStrike" baseline="0">
                <a:solidFill>
                  <a:srgbClr val="000000"/>
                </a:solidFill>
                <a:latin typeface="Calibri"/>
                <a:cs typeface="Calibri"/>
              </a:rPr>
              <a:t>62 cm</a:t>
            </a:r>
          </a:p>
        </xdr:txBody>
      </xdr:sp>
      <xdr:grpSp>
        <xdr:nvGrpSpPr>
          <xdr:cNvPr id="54" name="Group 142"/>
          <xdr:cNvGrpSpPr>
            <a:grpSpLocks noChangeAspect="1"/>
          </xdr:cNvGrpSpPr>
        </xdr:nvGrpSpPr>
        <xdr:grpSpPr bwMode="auto">
          <a:xfrm>
            <a:off x="2430" y="935"/>
            <a:ext cx="29" cy="205"/>
            <a:chOff x="2434" y="942"/>
            <a:chExt cx="27" cy="198"/>
          </a:xfrm>
        </xdr:grpSpPr>
        <xdr:sp macro="" textlink="">
          <xdr:nvSpPr>
            <xdr:cNvPr id="97" name="Rechteck 27"/>
            <xdr:cNvSpPr/>
          </xdr:nvSpPr>
          <xdr:spPr>
            <a:xfrm>
              <a:off x="2434" y="942"/>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8" name="Rechteck 27"/>
            <xdr:cNvSpPr/>
          </xdr:nvSpPr>
          <xdr:spPr>
            <a:xfrm>
              <a:off x="2434" y="982"/>
              <a:ext cx="27" cy="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9" name="Rechteck 27"/>
            <xdr:cNvSpPr/>
          </xdr:nvSpPr>
          <xdr:spPr>
            <a:xfrm>
              <a:off x="2434" y="1022"/>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00" name="Rechteck 27"/>
            <xdr:cNvSpPr/>
          </xdr:nvSpPr>
          <xdr:spPr>
            <a:xfrm>
              <a:off x="2434" y="1062"/>
              <a:ext cx="27" cy="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01" name="Rechteck 27"/>
            <xdr:cNvSpPr/>
          </xdr:nvSpPr>
          <xdr:spPr>
            <a:xfrm>
              <a:off x="2434" y="1102"/>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55" name="Group 148"/>
          <xdr:cNvGrpSpPr>
            <a:grpSpLocks/>
          </xdr:cNvGrpSpPr>
        </xdr:nvGrpSpPr>
        <xdr:grpSpPr bwMode="auto">
          <a:xfrm rot="5400000">
            <a:off x="2531" y="1048"/>
            <a:ext cx="27" cy="158"/>
            <a:chOff x="2558" y="941"/>
            <a:chExt cx="27" cy="158"/>
          </a:xfrm>
        </xdr:grpSpPr>
        <xdr:sp macro="" textlink="">
          <xdr:nvSpPr>
            <xdr:cNvPr id="93"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4"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5"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6"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56" name="Group 153"/>
          <xdr:cNvGrpSpPr>
            <a:grpSpLocks/>
          </xdr:cNvGrpSpPr>
        </xdr:nvGrpSpPr>
        <xdr:grpSpPr bwMode="auto">
          <a:xfrm rot="5400000">
            <a:off x="2531" y="1019"/>
            <a:ext cx="27" cy="158"/>
            <a:chOff x="2558" y="941"/>
            <a:chExt cx="27" cy="158"/>
          </a:xfrm>
        </xdr:grpSpPr>
        <xdr:sp macro="" textlink="">
          <xdr:nvSpPr>
            <xdr:cNvPr id="89"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0"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1"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92"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57" name="Group 158"/>
          <xdr:cNvGrpSpPr>
            <a:grpSpLocks/>
          </xdr:cNvGrpSpPr>
        </xdr:nvGrpSpPr>
        <xdr:grpSpPr bwMode="auto">
          <a:xfrm rot="5400000">
            <a:off x="2531" y="990"/>
            <a:ext cx="27" cy="158"/>
            <a:chOff x="2558" y="941"/>
            <a:chExt cx="27" cy="158"/>
          </a:xfrm>
        </xdr:grpSpPr>
        <xdr:sp macro="" textlink="">
          <xdr:nvSpPr>
            <xdr:cNvPr id="85"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6"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7"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8"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58" name="Group 163"/>
          <xdr:cNvGrpSpPr>
            <a:grpSpLocks/>
          </xdr:cNvGrpSpPr>
        </xdr:nvGrpSpPr>
        <xdr:grpSpPr bwMode="auto">
          <a:xfrm rot="5400000">
            <a:off x="2531" y="961"/>
            <a:ext cx="27" cy="158"/>
            <a:chOff x="2558" y="941"/>
            <a:chExt cx="27" cy="158"/>
          </a:xfrm>
        </xdr:grpSpPr>
        <xdr:sp macro="" textlink="">
          <xdr:nvSpPr>
            <xdr:cNvPr id="81"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2"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3"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4"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59" name="Group 168"/>
          <xdr:cNvGrpSpPr>
            <a:grpSpLocks/>
          </xdr:cNvGrpSpPr>
        </xdr:nvGrpSpPr>
        <xdr:grpSpPr bwMode="auto">
          <a:xfrm rot="5400000">
            <a:off x="2531" y="932"/>
            <a:ext cx="27" cy="158"/>
            <a:chOff x="2558" y="941"/>
            <a:chExt cx="27" cy="158"/>
          </a:xfrm>
        </xdr:grpSpPr>
        <xdr:sp macro="" textlink="">
          <xdr:nvSpPr>
            <xdr:cNvPr id="77"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8"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9"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80"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60" name="Group 173"/>
          <xdr:cNvGrpSpPr>
            <a:grpSpLocks/>
          </xdr:cNvGrpSpPr>
        </xdr:nvGrpSpPr>
        <xdr:grpSpPr bwMode="auto">
          <a:xfrm rot="5400000">
            <a:off x="2531" y="903"/>
            <a:ext cx="27" cy="158"/>
            <a:chOff x="2558" y="941"/>
            <a:chExt cx="27" cy="158"/>
          </a:xfrm>
        </xdr:grpSpPr>
        <xdr:sp macro="" textlink="">
          <xdr:nvSpPr>
            <xdr:cNvPr id="73"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4"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5"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6"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61" name="Group 178"/>
          <xdr:cNvGrpSpPr>
            <a:grpSpLocks/>
          </xdr:cNvGrpSpPr>
        </xdr:nvGrpSpPr>
        <xdr:grpSpPr bwMode="auto">
          <a:xfrm rot="5400000">
            <a:off x="2531" y="874"/>
            <a:ext cx="27" cy="158"/>
            <a:chOff x="2558" y="941"/>
            <a:chExt cx="27" cy="158"/>
          </a:xfrm>
        </xdr:grpSpPr>
        <xdr:sp macro="" textlink="">
          <xdr:nvSpPr>
            <xdr:cNvPr id="69" name="Rechteck 27"/>
            <xdr:cNvSpPr/>
          </xdr:nvSpPr>
          <xdr:spPr>
            <a:xfrm>
              <a:off x="2558" y="94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0" name="Rechteck 27"/>
            <xdr:cNvSpPr/>
          </xdr:nvSpPr>
          <xdr:spPr>
            <a:xfrm>
              <a:off x="2558" y="98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1" name="Rechteck 27"/>
            <xdr:cNvSpPr/>
          </xdr:nvSpPr>
          <xdr:spPr>
            <a:xfrm>
              <a:off x="2558" y="102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72" name="Rechteck 27"/>
            <xdr:cNvSpPr/>
          </xdr:nvSpPr>
          <xdr:spPr>
            <a:xfrm>
              <a:off x="2558" y="1061"/>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62" name="Group 183"/>
          <xdr:cNvGrpSpPr>
            <a:grpSpLocks/>
          </xdr:cNvGrpSpPr>
        </xdr:nvGrpSpPr>
        <xdr:grpSpPr bwMode="auto">
          <a:xfrm>
            <a:off x="2481" y="899"/>
            <a:ext cx="143" cy="38"/>
            <a:chOff x="2505" y="1195"/>
            <a:chExt cx="143" cy="38"/>
          </a:xfrm>
        </xdr:grpSpPr>
        <xdr:sp macro="" textlink="">
          <xdr:nvSpPr>
            <xdr:cNvPr id="64" name="Rechteck 27"/>
            <xdr:cNvSpPr/>
          </xdr:nvSpPr>
          <xdr:spPr>
            <a:xfrm>
              <a:off x="2505" y="1195"/>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65" name="Rechteck 27"/>
            <xdr:cNvSpPr/>
          </xdr:nvSpPr>
          <xdr:spPr>
            <a:xfrm>
              <a:off x="2534" y="1195"/>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66" name="Rechteck 27"/>
            <xdr:cNvSpPr/>
          </xdr:nvSpPr>
          <xdr:spPr>
            <a:xfrm>
              <a:off x="2563" y="1195"/>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67" name="Rechteck 27"/>
            <xdr:cNvSpPr/>
          </xdr:nvSpPr>
          <xdr:spPr>
            <a:xfrm>
              <a:off x="2592" y="1195"/>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68" name="Rechteck 27"/>
            <xdr:cNvSpPr/>
          </xdr:nvSpPr>
          <xdr:spPr>
            <a:xfrm>
              <a:off x="2621" y="1195"/>
              <a:ext cx="27" cy="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sp macro="" textlink="">
        <xdr:nvSpPr>
          <xdr:cNvPr id="63" name="Rechteck 27"/>
          <xdr:cNvSpPr>
            <a:spLocks noChangeAspect="1" noChangeArrowheads="1"/>
          </xdr:cNvSpPr>
        </xdr:nvSpPr>
        <xdr:spPr bwMode="auto">
          <a:xfrm rot="5400000">
            <a:off x="2436" y="894"/>
            <a:ext cx="27" cy="38"/>
          </a:xfrm>
          <a:prstGeom prst="rect">
            <a:avLst/>
          </a:prstGeom>
          <a:solidFill>
            <a:srgbClr val="4F81BD"/>
          </a:solidFill>
          <a:ln w="25400" algn="ctr">
            <a:solidFill>
              <a:srgbClr val="385D8A"/>
            </a:solidFill>
            <a:miter lim="800000"/>
            <a:headEnd/>
            <a:tailEnd/>
          </a:ln>
        </xdr:spPr>
      </xdr:sp>
    </xdr:grpSp>
    <xdr:clientData/>
  </xdr:twoCellAnchor>
  <xdr:twoCellAnchor>
    <xdr:from>
      <xdr:col>7</xdr:col>
      <xdr:colOff>504825</xdr:colOff>
      <xdr:row>255</xdr:row>
      <xdr:rowOff>104775</xdr:rowOff>
    </xdr:from>
    <xdr:to>
      <xdr:col>11</xdr:col>
      <xdr:colOff>0</xdr:colOff>
      <xdr:row>271</xdr:row>
      <xdr:rowOff>57150</xdr:rowOff>
    </xdr:to>
    <xdr:grpSp>
      <xdr:nvGrpSpPr>
        <xdr:cNvPr id="102" name="Group 190"/>
        <xdr:cNvGrpSpPr>
          <a:grpSpLocks/>
        </xdr:cNvGrpSpPr>
      </xdr:nvGrpSpPr>
      <xdr:grpSpPr bwMode="auto">
        <a:xfrm>
          <a:off x="8495242" y="48703442"/>
          <a:ext cx="2183341" cy="3000375"/>
          <a:chOff x="1776" y="1296"/>
          <a:chExt cx="253" cy="267"/>
        </a:xfrm>
      </xdr:grpSpPr>
      <xdr:sp macro="" textlink="">
        <xdr:nvSpPr>
          <xdr:cNvPr id="103" name="Textfeld 9"/>
          <xdr:cNvSpPr txBox="1">
            <a:spLocks noChangeArrowheads="1"/>
          </xdr:cNvSpPr>
        </xdr:nvSpPr>
        <xdr:spPr bwMode="auto">
          <a:xfrm>
            <a:off x="1971" y="1296"/>
            <a:ext cx="39" cy="25"/>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de-DE" sz="1100" b="0" i="0" u="none" strike="noStrike" baseline="0">
                <a:solidFill>
                  <a:srgbClr val="000000"/>
                </a:solidFill>
                <a:latin typeface="Calibri"/>
                <a:cs typeface="Calibri"/>
              </a:rPr>
              <a:t>4 cm</a:t>
            </a:r>
          </a:p>
        </xdr:txBody>
      </xdr:sp>
      <xdr:sp macro="" textlink="">
        <xdr:nvSpPr>
          <xdr:cNvPr id="104" name="Rechteck 103"/>
          <xdr:cNvSpPr/>
        </xdr:nvSpPr>
        <xdr:spPr>
          <a:xfrm>
            <a:off x="1781" y="1301"/>
            <a:ext cx="184" cy="22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05" name="Textfeld 2"/>
          <xdr:cNvSpPr txBox="1">
            <a:spLocks noChangeArrowheads="1"/>
          </xdr:cNvSpPr>
        </xdr:nvSpPr>
        <xdr:spPr bwMode="auto">
          <a:xfrm>
            <a:off x="1970" y="1400"/>
            <a:ext cx="59" cy="26"/>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de-DE" sz="1100" b="0" i="0" u="none" strike="noStrike" baseline="0">
                <a:solidFill>
                  <a:srgbClr val="000000"/>
                </a:solidFill>
                <a:latin typeface="Calibri"/>
                <a:cs typeface="Calibri"/>
              </a:rPr>
              <a:t>76 cm</a:t>
            </a:r>
          </a:p>
        </xdr:txBody>
      </xdr:sp>
      <xdr:sp macro="" textlink="">
        <xdr:nvSpPr>
          <xdr:cNvPr id="106" name="Textfeld 3"/>
          <xdr:cNvSpPr txBox="1">
            <a:spLocks noChangeArrowheads="1"/>
          </xdr:cNvSpPr>
        </xdr:nvSpPr>
        <xdr:spPr bwMode="auto">
          <a:xfrm>
            <a:off x="1877" y="1537"/>
            <a:ext cx="49" cy="26"/>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de-DE" sz="1100" b="0" i="0" u="none" strike="noStrike" baseline="0">
                <a:solidFill>
                  <a:srgbClr val="000000"/>
                </a:solidFill>
                <a:latin typeface="Calibri"/>
                <a:cs typeface="Calibri"/>
              </a:rPr>
              <a:t>62 cm</a:t>
            </a:r>
          </a:p>
        </xdr:txBody>
      </xdr:sp>
      <xdr:sp macro="" textlink="">
        <xdr:nvSpPr>
          <xdr:cNvPr id="107" name="Textfeld 46"/>
          <xdr:cNvSpPr txBox="1">
            <a:spLocks noChangeArrowheads="1"/>
          </xdr:cNvSpPr>
        </xdr:nvSpPr>
        <xdr:spPr bwMode="auto">
          <a:xfrm>
            <a:off x="1776" y="1536"/>
            <a:ext cx="44" cy="25"/>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de-DE" sz="1100" b="0" i="0" u="none" strike="noStrike" baseline="0">
                <a:solidFill>
                  <a:srgbClr val="000000"/>
                </a:solidFill>
                <a:latin typeface="Calibri"/>
                <a:cs typeface="Calibri"/>
              </a:rPr>
              <a:t>10 cm</a:t>
            </a:r>
          </a:p>
        </xdr:txBody>
      </xdr:sp>
      <xdr:grpSp>
        <xdr:nvGrpSpPr>
          <xdr:cNvPr id="108" name="Group 196"/>
          <xdr:cNvGrpSpPr>
            <a:grpSpLocks/>
          </xdr:cNvGrpSpPr>
        </xdr:nvGrpSpPr>
        <xdr:grpSpPr bwMode="auto">
          <a:xfrm>
            <a:off x="1783" y="1342"/>
            <a:ext cx="20" cy="185"/>
            <a:chOff x="1781" y="1338"/>
            <a:chExt cx="20" cy="185"/>
          </a:xfrm>
        </xdr:grpSpPr>
        <xdr:sp macro="" textlink="">
          <xdr:nvSpPr>
            <xdr:cNvPr id="150" name="Rechteck 3"/>
            <xdr:cNvSpPr/>
          </xdr:nvSpPr>
          <xdr:spPr>
            <a:xfrm rot="16200000">
              <a:off x="1773" y="1421"/>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51" name="Rechteck 4"/>
            <xdr:cNvSpPr/>
          </xdr:nvSpPr>
          <xdr:spPr>
            <a:xfrm rot="16200000">
              <a:off x="1773" y="1383"/>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52" name="Rechteck 5"/>
            <xdr:cNvSpPr/>
          </xdr:nvSpPr>
          <xdr:spPr>
            <a:xfrm rot="16200000">
              <a:off x="1774" y="1345"/>
              <a:ext cx="34"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53" name="Rechteck 7"/>
            <xdr:cNvSpPr/>
          </xdr:nvSpPr>
          <xdr:spPr>
            <a:xfrm rot="16200000">
              <a:off x="1773" y="1459"/>
              <a:ext cx="35"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54" name="Rechteck 8"/>
            <xdr:cNvSpPr/>
          </xdr:nvSpPr>
          <xdr:spPr>
            <a:xfrm rot="16200000">
              <a:off x="1774" y="1496"/>
              <a:ext cx="34" cy="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09" name="Group 202"/>
          <xdr:cNvGrpSpPr>
            <a:grpSpLocks/>
          </xdr:cNvGrpSpPr>
        </xdr:nvGrpSpPr>
        <xdr:grpSpPr bwMode="auto">
          <a:xfrm>
            <a:off x="1809" y="1314"/>
            <a:ext cx="153" cy="213"/>
            <a:chOff x="1805" y="1311"/>
            <a:chExt cx="153" cy="213"/>
          </a:xfrm>
        </xdr:grpSpPr>
        <xdr:grpSp>
          <xdr:nvGrpSpPr>
            <xdr:cNvPr id="110" name="Group 203"/>
            <xdr:cNvGrpSpPr>
              <a:grpSpLocks/>
            </xdr:cNvGrpSpPr>
          </xdr:nvGrpSpPr>
          <xdr:grpSpPr bwMode="auto">
            <a:xfrm>
              <a:off x="1806" y="1500"/>
              <a:ext cx="152" cy="24"/>
              <a:chOff x="1806" y="1501"/>
              <a:chExt cx="152" cy="24"/>
            </a:xfrm>
          </xdr:grpSpPr>
          <xdr:sp macro="" textlink="">
            <xdr:nvSpPr>
              <xdr:cNvPr id="146"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7"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8"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9"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1" name="Group 208"/>
            <xdr:cNvGrpSpPr>
              <a:grpSpLocks/>
            </xdr:cNvGrpSpPr>
          </xdr:nvGrpSpPr>
          <xdr:grpSpPr bwMode="auto">
            <a:xfrm>
              <a:off x="1806" y="1473"/>
              <a:ext cx="152" cy="24"/>
              <a:chOff x="1806" y="1501"/>
              <a:chExt cx="152" cy="24"/>
            </a:xfrm>
          </xdr:grpSpPr>
          <xdr:sp macro="" textlink="">
            <xdr:nvSpPr>
              <xdr:cNvPr id="142"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3"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4"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5"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2" name="Group 213"/>
            <xdr:cNvGrpSpPr>
              <a:grpSpLocks/>
            </xdr:cNvGrpSpPr>
          </xdr:nvGrpSpPr>
          <xdr:grpSpPr bwMode="auto">
            <a:xfrm>
              <a:off x="1806" y="1446"/>
              <a:ext cx="152" cy="24"/>
              <a:chOff x="1806" y="1501"/>
              <a:chExt cx="152" cy="24"/>
            </a:xfrm>
          </xdr:grpSpPr>
          <xdr:sp macro="" textlink="">
            <xdr:nvSpPr>
              <xdr:cNvPr id="138"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9"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0"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41"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3" name="Group 218"/>
            <xdr:cNvGrpSpPr>
              <a:grpSpLocks/>
            </xdr:cNvGrpSpPr>
          </xdr:nvGrpSpPr>
          <xdr:grpSpPr bwMode="auto">
            <a:xfrm>
              <a:off x="1806" y="1419"/>
              <a:ext cx="152" cy="24"/>
              <a:chOff x="1806" y="1501"/>
              <a:chExt cx="152" cy="24"/>
            </a:xfrm>
          </xdr:grpSpPr>
          <xdr:sp macro="" textlink="">
            <xdr:nvSpPr>
              <xdr:cNvPr id="134"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5"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6"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7"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4" name="Group 223"/>
            <xdr:cNvGrpSpPr>
              <a:grpSpLocks/>
            </xdr:cNvGrpSpPr>
          </xdr:nvGrpSpPr>
          <xdr:grpSpPr bwMode="auto">
            <a:xfrm>
              <a:off x="1806" y="1392"/>
              <a:ext cx="152" cy="24"/>
              <a:chOff x="1806" y="1501"/>
              <a:chExt cx="152" cy="24"/>
            </a:xfrm>
          </xdr:grpSpPr>
          <xdr:sp macro="" textlink="">
            <xdr:nvSpPr>
              <xdr:cNvPr id="130"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1"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2"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33"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5" name="Group 228"/>
            <xdr:cNvGrpSpPr>
              <a:grpSpLocks/>
            </xdr:cNvGrpSpPr>
          </xdr:nvGrpSpPr>
          <xdr:grpSpPr bwMode="auto">
            <a:xfrm>
              <a:off x="1806" y="1365"/>
              <a:ext cx="152" cy="24"/>
              <a:chOff x="1806" y="1501"/>
              <a:chExt cx="152" cy="24"/>
            </a:xfrm>
          </xdr:grpSpPr>
          <xdr:sp macro="" textlink="">
            <xdr:nvSpPr>
              <xdr:cNvPr id="126"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7"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8"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9"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6" name="Group 233"/>
            <xdr:cNvGrpSpPr>
              <a:grpSpLocks/>
            </xdr:cNvGrpSpPr>
          </xdr:nvGrpSpPr>
          <xdr:grpSpPr bwMode="auto">
            <a:xfrm>
              <a:off x="1805" y="1338"/>
              <a:ext cx="152" cy="24"/>
              <a:chOff x="1806" y="1501"/>
              <a:chExt cx="152" cy="24"/>
            </a:xfrm>
          </xdr:grpSpPr>
          <xdr:sp macro="" textlink="">
            <xdr:nvSpPr>
              <xdr:cNvPr id="122" name="Rechteck 14"/>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3" name="Rechteck 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4" name="Rechteck 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5" name="Rechteck 24"/>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nvGrpSpPr>
            <xdr:cNvPr id="117" name="Group 238"/>
            <xdr:cNvGrpSpPr>
              <a:grpSpLocks/>
            </xdr:cNvGrpSpPr>
          </xdr:nvGrpSpPr>
          <xdr:grpSpPr bwMode="auto">
            <a:xfrm>
              <a:off x="1805" y="1311"/>
              <a:ext cx="152" cy="24"/>
              <a:chOff x="1806" y="1501"/>
              <a:chExt cx="152" cy="24"/>
            </a:xfrm>
          </xdr:grpSpPr>
          <xdr:sp macro="" textlink="">
            <xdr:nvSpPr>
              <xdr:cNvPr id="118" name="Rechteck 117"/>
              <xdr:cNvSpPr/>
            </xdr:nvSpPr>
            <xdr:spPr>
              <a:xfrm>
                <a:off x="1884"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19" name="Rechteck 118"/>
              <xdr:cNvSpPr/>
            </xdr:nvSpPr>
            <xdr:spPr>
              <a:xfrm>
                <a:off x="1845"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0" name="Rechteck 119"/>
              <xdr:cNvSpPr/>
            </xdr:nvSpPr>
            <xdr:spPr>
              <a:xfrm>
                <a:off x="1806" y="1501"/>
                <a:ext cx="36"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sp macro="" textlink="">
            <xdr:nvSpPr>
              <xdr:cNvPr id="121" name="Rechteck 120"/>
              <xdr:cNvSpPr/>
            </xdr:nvSpPr>
            <xdr:spPr>
              <a:xfrm>
                <a:off x="1923" y="1501"/>
                <a:ext cx="35" cy="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e-DE"/>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676275</xdr:colOff>
      <xdr:row>3</xdr:row>
      <xdr:rowOff>0</xdr:rowOff>
    </xdr:from>
    <xdr:to>
      <xdr:col>11</xdr:col>
      <xdr:colOff>219075</xdr:colOff>
      <xdr:row>13</xdr:row>
      <xdr:rowOff>38100</xdr:rowOff>
    </xdr:to>
    <xdr:sp macro="" textlink="">
      <xdr:nvSpPr>
        <xdr:cNvPr id="2" name="Würfel 1"/>
        <xdr:cNvSpPr/>
      </xdr:nvSpPr>
      <xdr:spPr>
        <a:xfrm>
          <a:off x="6257925" y="571500"/>
          <a:ext cx="2590800" cy="1943100"/>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390525</xdr:colOff>
      <xdr:row>3</xdr:row>
      <xdr:rowOff>0</xdr:rowOff>
    </xdr:from>
    <xdr:to>
      <xdr:col>11</xdr:col>
      <xdr:colOff>219075</xdr:colOff>
      <xdr:row>3</xdr:row>
      <xdr:rowOff>0</xdr:rowOff>
    </xdr:to>
    <xdr:cxnSp macro="">
      <xdr:nvCxnSpPr>
        <xdr:cNvPr id="3" name="Gerade Verbindung 2"/>
        <xdr:cNvCxnSpPr/>
      </xdr:nvCxnSpPr>
      <xdr:spPr>
        <a:xfrm>
          <a:off x="6734175" y="571500"/>
          <a:ext cx="211455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409575</xdr:colOff>
      <xdr:row>10</xdr:row>
      <xdr:rowOff>123825</xdr:rowOff>
    </xdr:from>
    <xdr:to>
      <xdr:col>11</xdr:col>
      <xdr:colOff>238125</xdr:colOff>
      <xdr:row>10</xdr:row>
      <xdr:rowOff>123825</xdr:rowOff>
    </xdr:to>
    <xdr:cxnSp macro="">
      <xdr:nvCxnSpPr>
        <xdr:cNvPr id="4" name="Gerade Verbindung 3"/>
        <xdr:cNvCxnSpPr/>
      </xdr:nvCxnSpPr>
      <xdr:spPr>
        <a:xfrm>
          <a:off x="6753225" y="2028825"/>
          <a:ext cx="2114550" cy="0"/>
        </a:xfrm>
        <a:prstGeom prst="line">
          <a:avLst/>
        </a:prstGeom>
        <a:ln>
          <a:prstDash val="dash"/>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666750</xdr:colOff>
      <xdr:row>13</xdr:row>
      <xdr:rowOff>38100</xdr:rowOff>
    </xdr:from>
    <xdr:to>
      <xdr:col>10</xdr:col>
      <xdr:colOff>495300</xdr:colOff>
      <xdr:row>13</xdr:row>
      <xdr:rowOff>38100</xdr:rowOff>
    </xdr:to>
    <xdr:cxnSp macro="">
      <xdr:nvCxnSpPr>
        <xdr:cNvPr id="5" name="Gerade Verbindung 4"/>
        <xdr:cNvCxnSpPr/>
      </xdr:nvCxnSpPr>
      <xdr:spPr>
        <a:xfrm>
          <a:off x="6248400" y="2514600"/>
          <a:ext cx="211455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676275</xdr:colOff>
      <xdr:row>5</xdr:row>
      <xdr:rowOff>104775</xdr:rowOff>
    </xdr:from>
    <xdr:to>
      <xdr:col>10</xdr:col>
      <xdr:colOff>504825</xdr:colOff>
      <xdr:row>5</xdr:row>
      <xdr:rowOff>104775</xdr:rowOff>
    </xdr:to>
    <xdr:cxnSp macro="">
      <xdr:nvCxnSpPr>
        <xdr:cNvPr id="6" name="Gerade Verbindung 5"/>
        <xdr:cNvCxnSpPr/>
      </xdr:nvCxnSpPr>
      <xdr:spPr>
        <a:xfrm>
          <a:off x="6257925" y="1057275"/>
          <a:ext cx="211455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742950</xdr:colOff>
      <xdr:row>58</xdr:row>
      <xdr:rowOff>28575</xdr:rowOff>
    </xdr:from>
    <xdr:to>
      <xdr:col>3</xdr:col>
      <xdr:colOff>142875</xdr:colOff>
      <xdr:row>59</xdr:row>
      <xdr:rowOff>28575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450" y="9486900"/>
          <a:ext cx="3238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61</xdr:row>
      <xdr:rowOff>161925</xdr:rowOff>
    </xdr:from>
    <xdr:to>
      <xdr:col>2</xdr:col>
      <xdr:colOff>180975</xdr:colOff>
      <xdr:row>62</xdr:row>
      <xdr:rowOff>123825</xdr:rowOff>
    </xdr:to>
    <xdr:pic>
      <xdr:nvPicPr>
        <xdr:cNvPr id="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101441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61</xdr:row>
      <xdr:rowOff>180975</xdr:rowOff>
    </xdr:from>
    <xdr:to>
      <xdr:col>2</xdr:col>
      <xdr:colOff>714375</xdr:colOff>
      <xdr:row>62</xdr:row>
      <xdr:rowOff>133350</xdr:rowOff>
    </xdr:to>
    <xdr:pic>
      <xdr:nvPicPr>
        <xdr:cNvPr id="4"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 y="101631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58</xdr:row>
      <xdr:rowOff>38100</xdr:rowOff>
    </xdr:from>
    <xdr:to>
      <xdr:col>2</xdr:col>
      <xdr:colOff>9525</xdr:colOff>
      <xdr:row>59</xdr:row>
      <xdr:rowOff>28575</xdr:rowOff>
    </xdr:to>
    <xdr:pic>
      <xdr:nvPicPr>
        <xdr:cNvPr id="5"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9496425"/>
          <a:ext cx="3429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112</xdr:row>
      <xdr:rowOff>57150</xdr:rowOff>
    </xdr:from>
    <xdr:to>
      <xdr:col>2</xdr:col>
      <xdr:colOff>228600</xdr:colOff>
      <xdr:row>113</xdr:row>
      <xdr:rowOff>57150</xdr:rowOff>
    </xdr:to>
    <xdr:pic>
      <xdr:nvPicPr>
        <xdr:cNvPr id="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1175" y="184404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112</xdr:row>
      <xdr:rowOff>47625</xdr:rowOff>
    </xdr:from>
    <xdr:to>
      <xdr:col>2</xdr:col>
      <xdr:colOff>685800</xdr:colOff>
      <xdr:row>113</xdr:row>
      <xdr:rowOff>38100</xdr:rowOff>
    </xdr:to>
    <xdr:pic>
      <xdr:nvPicPr>
        <xdr:cNvPr id="7"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7900" y="184308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110</xdr:row>
      <xdr:rowOff>0</xdr:rowOff>
    </xdr:from>
    <xdr:to>
      <xdr:col>2</xdr:col>
      <xdr:colOff>219075</xdr:colOff>
      <xdr:row>110</xdr:row>
      <xdr:rowOff>152400</xdr:rowOff>
    </xdr:to>
    <xdr:pic>
      <xdr:nvPicPr>
        <xdr:cNvPr id="8"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179832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110</xdr:row>
      <xdr:rowOff>0</xdr:rowOff>
    </xdr:from>
    <xdr:to>
      <xdr:col>2</xdr:col>
      <xdr:colOff>714375</xdr:colOff>
      <xdr:row>111</xdr:row>
      <xdr:rowOff>0</xdr:rowOff>
    </xdr:to>
    <xdr:pic>
      <xdr:nvPicPr>
        <xdr:cNvPr id="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6950" y="17983200"/>
          <a:ext cx="1619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112</xdr:row>
      <xdr:rowOff>57150</xdr:rowOff>
    </xdr:from>
    <xdr:to>
      <xdr:col>2</xdr:col>
      <xdr:colOff>228600</xdr:colOff>
      <xdr:row>113</xdr:row>
      <xdr:rowOff>57150</xdr:rowOff>
    </xdr:to>
    <xdr:pic>
      <xdr:nvPicPr>
        <xdr:cNvPr id="1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1175" y="184404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112</xdr:row>
      <xdr:rowOff>47625</xdr:rowOff>
    </xdr:from>
    <xdr:to>
      <xdr:col>2</xdr:col>
      <xdr:colOff>685800</xdr:colOff>
      <xdr:row>113</xdr:row>
      <xdr:rowOff>38100</xdr:rowOff>
    </xdr:to>
    <xdr:pic>
      <xdr:nvPicPr>
        <xdr:cNvPr id="11"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7900" y="184308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110</xdr:row>
      <xdr:rowOff>0</xdr:rowOff>
    </xdr:from>
    <xdr:to>
      <xdr:col>2</xdr:col>
      <xdr:colOff>219075</xdr:colOff>
      <xdr:row>110</xdr:row>
      <xdr:rowOff>152400</xdr:rowOff>
    </xdr:to>
    <xdr:pic>
      <xdr:nvPicPr>
        <xdr:cNvPr id="12"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179832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676276</xdr:colOff>
      <xdr:row>0</xdr:row>
      <xdr:rowOff>127000</xdr:rowOff>
    </xdr:from>
    <xdr:to>
      <xdr:col>16</xdr:col>
      <xdr:colOff>1</xdr:colOff>
      <xdr:row>16</xdr:row>
      <xdr:rowOff>127000</xdr:rowOff>
    </xdr:to>
    <xdr:sp macro="" textlink="">
      <xdr:nvSpPr>
        <xdr:cNvPr id="2" name="Textfeld 1"/>
        <xdr:cNvSpPr txBox="1"/>
      </xdr:nvSpPr>
      <xdr:spPr>
        <a:xfrm>
          <a:off x="676276" y="127000"/>
          <a:ext cx="6816725" cy="2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b="1">
              <a:effectLst/>
            </a:rPr>
            <a:t>Aufgabe</a:t>
          </a:r>
        </a:p>
        <a:p>
          <a:pPr rtl="0"/>
          <a:endParaRPr lang="de-DE" b="1">
            <a:effectLst/>
          </a:endParaRPr>
        </a:p>
        <a:p>
          <a:pPr rtl="0"/>
          <a:r>
            <a:rPr lang="de-DE" b="1">
              <a:effectLst/>
            </a:rPr>
            <a:t>15 Fotos, deren Seitenverhältnis</a:t>
          </a:r>
          <a:r>
            <a:rPr lang="de-DE" b="1" baseline="0">
              <a:effectLst/>
            </a:rPr>
            <a:t> </a:t>
          </a:r>
          <a:r>
            <a:rPr lang="de-DE" b="1">
              <a:effectLst/>
            </a:rPr>
            <a:t> erhalten  bleiben soll,  sollen auf einem Hochformat angeordnet werden, dessen Breite zur Höhe im Verhältnis 3 zu 5 steht. Die Höhe des Hochformats soll 2000 px sein (siehe rechts).</a:t>
          </a:r>
          <a:endParaRPr lang="de-DE">
            <a:effectLst/>
          </a:endParaRPr>
        </a:p>
        <a:p>
          <a:pPr rtl="0"/>
          <a:endParaRPr lang="de-DE">
            <a:effectLst/>
          </a:endParaRPr>
        </a:p>
        <a:p>
          <a:pPr rtl="0"/>
          <a:r>
            <a:rPr lang="de-DE" b="1">
              <a:effectLst/>
            </a:rPr>
            <a:t>Das Grundlinienraster besteht aus 4 gleich breiten Bild-Spalten (Bildbreite) mit gleichen Abständen dazwischen und zu den beiden Rändern links und rechts. Aber nur die Spalten 2 bis 4 werden später mit Bildern gefüllt (3x5).</a:t>
          </a:r>
          <a:endParaRPr lang="de-DE">
            <a:effectLst/>
          </a:endParaRPr>
        </a:p>
        <a:p>
          <a:pPr rtl="0"/>
          <a:endParaRPr lang="de-DE">
            <a:effectLst/>
          </a:endParaRPr>
        </a:p>
        <a:p>
          <a:pPr rtl="0"/>
          <a:r>
            <a:rPr lang="de-DE" b="1">
              <a:effectLst/>
            </a:rPr>
            <a:t>Außerdem gibt es 5 gleiche Zeilen (Bildhöhe), wobei der Abstand zwischen den Zeilen dem Abstand zwischen den Spalten entsprechen soll. Auch der Rand ganz unten entspricht diesem Wert. Nur ganz oben ergibt sich ein breiterer Rand, auf dem die Überschrift steht: "Klassenliste ", die an der zweiten Spalte linksbündig ausgerichtet ist.</a:t>
          </a:r>
          <a:endParaRPr lang="de-DE">
            <a:effectLst/>
          </a:endParaRPr>
        </a:p>
        <a:p>
          <a:endParaRPr lang="de-DE" sz="1100"/>
        </a:p>
        <a:p>
          <a:r>
            <a:rPr lang="de-DE" sz="1100" b="1"/>
            <a:t>Berechnen Sie die Pixelwerte</a:t>
          </a:r>
          <a:r>
            <a:rPr lang="de-DE" sz="1100" b="1" baseline="0"/>
            <a:t> für die horizontalen und vertikalen Hilfslinien in Photoshop.</a:t>
          </a:r>
          <a:endParaRPr lang="de-DE" sz="1100" b="1"/>
        </a:p>
      </xdr:txBody>
    </xdr:sp>
    <xdr:clientData/>
  </xdr:twoCellAnchor>
  <xdr:twoCellAnchor editAs="oneCell">
    <xdr:from>
      <xdr:col>12</xdr:col>
      <xdr:colOff>63500</xdr:colOff>
      <xdr:row>18</xdr:row>
      <xdr:rowOff>51858</xdr:rowOff>
    </xdr:from>
    <xdr:to>
      <xdr:col>17</xdr:col>
      <xdr:colOff>460375</xdr:colOff>
      <xdr:row>43</xdr:row>
      <xdr:rowOff>143933</xdr:rowOff>
    </xdr:to>
    <xdr:pic>
      <xdr:nvPicPr>
        <xdr:cNvPr id="3"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0" y="2909358"/>
          <a:ext cx="2471208" cy="4060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740833</xdr:colOff>
      <xdr:row>78</xdr:row>
      <xdr:rowOff>123826</xdr:rowOff>
    </xdr:from>
    <xdr:to>
      <xdr:col>19</xdr:col>
      <xdr:colOff>1</xdr:colOff>
      <xdr:row>92</xdr:row>
      <xdr:rowOff>9526</xdr:rowOff>
    </xdr:to>
    <xdr:sp macro="" textlink="">
      <xdr:nvSpPr>
        <xdr:cNvPr id="8" name="Textfeld 7"/>
        <xdr:cNvSpPr txBox="1"/>
      </xdr:nvSpPr>
      <xdr:spPr>
        <a:xfrm>
          <a:off x="1502833" y="12506326"/>
          <a:ext cx="7588251" cy="210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b="1">
              <a:effectLst/>
            </a:rPr>
            <a:t>Aufgabe</a:t>
          </a:r>
        </a:p>
        <a:p>
          <a:pPr rtl="0"/>
          <a:endParaRPr lang="de-DE" b="1">
            <a:effectLst/>
          </a:endParaRPr>
        </a:p>
        <a:p>
          <a:pPr rtl="0">
            <a:lnSpc>
              <a:spcPts val="1400"/>
            </a:lnSpc>
          </a:pPr>
          <a:r>
            <a:rPr lang="de-DE" sz="1200" b="0">
              <a:solidFill>
                <a:schemeClr val="dk1"/>
              </a:solidFill>
              <a:effectLst/>
              <a:latin typeface="+mn-lt"/>
              <a:ea typeface="+mn-ea"/>
              <a:cs typeface="+mn-cs"/>
            </a:rPr>
            <a:t>12 quadratische Fotos sollen auf einem mittelgrauen DIN A4-Querformat angeordnet werden (siehe Muster).</a:t>
          </a:r>
          <a:endParaRPr lang="de-DE" sz="1200" b="0">
            <a:effectLst/>
          </a:endParaRPr>
        </a:p>
        <a:p>
          <a:pPr rtl="0">
            <a:lnSpc>
              <a:spcPts val="1400"/>
            </a:lnSpc>
          </a:pPr>
          <a:r>
            <a:rPr lang="de-DE" sz="1200" b="0">
              <a:solidFill>
                <a:schemeClr val="dk1"/>
              </a:solidFill>
              <a:effectLst/>
              <a:latin typeface="+mn-lt"/>
              <a:ea typeface="+mn-ea"/>
              <a:cs typeface="+mn-cs"/>
            </a:rPr>
            <a:t>Die Bildstruktur besteht aus 4 gleich breiten Bild-Spalten mit gleichen Abständen zwischen den Spalten und zum rechten Rand. </a:t>
          </a:r>
          <a:br>
            <a:rPr lang="de-DE" sz="1200" b="0">
              <a:solidFill>
                <a:schemeClr val="dk1"/>
              </a:solidFill>
              <a:effectLst/>
              <a:latin typeface="+mn-lt"/>
              <a:ea typeface="+mn-ea"/>
              <a:cs typeface="+mn-cs"/>
            </a:rPr>
          </a:br>
          <a:r>
            <a:rPr lang="de-DE" sz="1200" b="0">
              <a:solidFill>
                <a:schemeClr val="dk1"/>
              </a:solidFill>
              <a:effectLst/>
              <a:latin typeface="+mn-lt"/>
              <a:ea typeface="+mn-ea"/>
              <a:cs typeface="+mn-cs"/>
            </a:rPr>
            <a:t/>
          </a:r>
          <a:br>
            <a:rPr lang="de-DE" sz="1200" b="0">
              <a:solidFill>
                <a:schemeClr val="dk1"/>
              </a:solidFill>
              <a:effectLst/>
              <a:latin typeface="+mn-lt"/>
              <a:ea typeface="+mn-ea"/>
              <a:cs typeface="+mn-cs"/>
            </a:rPr>
          </a:br>
          <a:r>
            <a:rPr lang="de-DE" sz="1200" b="0">
              <a:solidFill>
                <a:schemeClr val="dk1"/>
              </a:solidFill>
              <a:effectLst/>
              <a:latin typeface="+mn-lt"/>
              <a:ea typeface="+mn-ea"/>
              <a:cs typeface="+mn-cs"/>
            </a:rPr>
            <a:t>Außerdem gibt es 3 gleich hohe Bild-Zeilen, wobei der Abstand zwischen den Zeilen dem Abstand zwischen den Spalten entsprechen soll. Auch der Rand ganz unten entspricht diesem Wert. </a:t>
          </a:r>
        </a:p>
        <a:p>
          <a:pPr rtl="0"/>
          <a:endParaRPr lang="de-DE" sz="1200" b="0">
            <a:solidFill>
              <a:schemeClr val="dk1"/>
            </a:solidFill>
            <a:effectLst/>
            <a:latin typeface="+mn-lt"/>
            <a:ea typeface="+mn-ea"/>
            <a:cs typeface="+mn-cs"/>
          </a:endParaRPr>
        </a:p>
        <a:p>
          <a:pPr rtl="0"/>
          <a:r>
            <a:rPr lang="de-DE" sz="1200" b="0">
              <a:solidFill>
                <a:schemeClr val="dk1"/>
              </a:solidFill>
              <a:effectLst/>
              <a:latin typeface="+mn-lt"/>
              <a:ea typeface="+mn-ea"/>
              <a:cs typeface="+mn-cs"/>
            </a:rPr>
            <a:t>Ganz oben und ganz links ergeben sich breite Ränder. </a:t>
          </a:r>
          <a:endParaRPr lang="de-DE" sz="1200" b="0">
            <a:effectLst/>
          </a:endParaRPr>
        </a:p>
      </xdr:txBody>
    </xdr:sp>
    <xdr:clientData/>
  </xdr:twoCellAnchor>
  <xdr:twoCellAnchor editAs="oneCell">
    <xdr:from>
      <xdr:col>12</xdr:col>
      <xdr:colOff>274109</xdr:colOff>
      <xdr:row>101</xdr:row>
      <xdr:rowOff>37042</xdr:rowOff>
    </xdr:from>
    <xdr:to>
      <xdr:col>19</xdr:col>
      <xdr:colOff>48684</xdr:colOff>
      <xdr:row>114</xdr:row>
      <xdr:rowOff>81492</xdr:rowOff>
    </xdr:to>
    <xdr:pic>
      <xdr:nvPicPr>
        <xdr:cNvPr id="9" name="Grafik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89109" y="16070792"/>
          <a:ext cx="3150658" cy="210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457200</xdr:colOff>
      <xdr:row>2</xdr:row>
      <xdr:rowOff>152400</xdr:rowOff>
    </xdr:from>
    <xdr:to>
      <xdr:col>7</xdr:col>
      <xdr:colOff>228600</xdr:colOff>
      <xdr:row>19</xdr:row>
      <xdr:rowOff>66675</xdr:rowOff>
    </xdr:to>
    <xdr:sp macro="" textlink="">
      <xdr:nvSpPr>
        <xdr:cNvPr id="2" name="Textfeld 1"/>
        <xdr:cNvSpPr txBox="1">
          <a:spLocks noChangeArrowheads="1"/>
        </xdr:cNvSpPr>
      </xdr:nvSpPr>
      <xdr:spPr bwMode="auto">
        <a:xfrm>
          <a:off x="457200" y="476250"/>
          <a:ext cx="6315075" cy="2667000"/>
        </a:xfrm>
        <a:prstGeom prst="rect">
          <a:avLst/>
        </a:prstGeom>
        <a:solidFill>
          <a:srgbClr val="FFFFFF"/>
        </a:solidFill>
        <a:ln w="9525">
          <a:solidFill>
            <a:srgbClr val="BCBCBC"/>
          </a:solidFill>
          <a:miter lim="800000"/>
          <a:headEnd/>
          <a:tailEnd/>
        </a:ln>
      </xdr:spPr>
      <xdr:txBody>
        <a:bodyPr vertOverflow="clip" wrap="square" lIns="27432" tIns="18288" rIns="0" bIns="0" anchor="t" upright="1"/>
        <a:lstStyle/>
        <a:p>
          <a:pPr algn="l" rtl="0">
            <a:defRPr sz="1000"/>
          </a:pPr>
          <a:r>
            <a:rPr lang="de-DE" sz="1100" b="1" i="0" u="none" strike="noStrike" baseline="0">
              <a:solidFill>
                <a:srgbClr val="000000"/>
              </a:solidFill>
              <a:latin typeface="Calibri"/>
            </a:rPr>
            <a:t>Aufgabe 2a (Bildbreite vorgegeben)</a:t>
          </a:r>
        </a:p>
        <a:p>
          <a:pPr algn="l" rtl="0">
            <a:defRPr sz="1000"/>
          </a:pPr>
          <a:endParaRPr lang="de-DE" sz="1100" b="1"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9 quadratische Fotos mit einer Auflösung von 180 dpi sollen auf einem Hochformat mit DIN-Proportion angeordnet werden. Die Breite des Hochformats soll 1488 px sein .</a:t>
          </a:r>
          <a:endParaRPr lang="de-DE" sz="1100" b="0" i="0" u="none" strike="noStrike" baseline="0">
            <a:solidFill>
              <a:srgbClr val="000000"/>
            </a:solidFill>
            <a:latin typeface="Calibri"/>
          </a:endParaRPr>
        </a:p>
        <a:p>
          <a:pPr algn="l" rtl="0">
            <a:defRPr sz="1000"/>
          </a:pPr>
          <a:endParaRPr lang="de-DE" sz="1100" b="0"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Das Grundlinienraster besteht aus 3 gleich breiten Bild-Spalten (Bildbreite) mit gleichen Abständen dazwischen und zu den beiden Rändern links und rechts.</a:t>
          </a:r>
        </a:p>
        <a:p>
          <a:pPr algn="l" rtl="0">
            <a:defRPr sz="1000"/>
          </a:pPr>
          <a:endParaRPr lang="de-DE" sz="1100" b="0"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Außerdem gibt es 3 gleiche Zeilen (Bildhöhe), wobei der Abstand zwischen den Zeilen dem doppelten Abstand zwischen den Spalten entsprechen soll. Auch der Rand ganz oben entspricht diesem Wert. Ganz unten ergibt sich ein breiter Randbereich, der für Text vorgesehen ist.</a:t>
          </a:r>
        </a:p>
        <a:p>
          <a:pPr algn="l" rtl="0">
            <a:defRPr sz="1000"/>
          </a:pPr>
          <a:endParaRPr lang="de-DE" sz="1100" b="1"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Berechnen Sie  die exakte Position der Hilfslinien.</a:t>
          </a:r>
          <a:endParaRPr lang="de-DE" sz="1100" b="0" i="0" u="none" strike="noStrike" baseline="0">
            <a:solidFill>
              <a:srgbClr val="000000"/>
            </a:solidFill>
            <a:latin typeface="Calibri"/>
          </a:endParaRPr>
        </a:p>
        <a:p>
          <a:pPr algn="l" rtl="0">
            <a:defRPr sz="1000"/>
          </a:pPr>
          <a:endParaRPr lang="de-DE"/>
        </a:p>
      </xdr:txBody>
    </xdr:sp>
    <xdr:clientData/>
  </xdr:twoCellAnchor>
  <xdr:twoCellAnchor editAs="oneCell">
    <xdr:from>
      <xdr:col>7</xdr:col>
      <xdr:colOff>381000</xdr:colOff>
      <xdr:row>2</xdr:row>
      <xdr:rowOff>114300</xdr:rowOff>
    </xdr:from>
    <xdr:to>
      <xdr:col>10</xdr:col>
      <xdr:colOff>114300</xdr:colOff>
      <xdr:row>20</xdr:row>
      <xdr:rowOff>47625</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4675" y="438150"/>
          <a:ext cx="2019300" cy="2847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63</xdr:row>
      <xdr:rowOff>47625</xdr:rowOff>
    </xdr:from>
    <xdr:to>
      <xdr:col>7</xdr:col>
      <xdr:colOff>0</xdr:colOff>
      <xdr:row>79</xdr:row>
      <xdr:rowOff>123825</xdr:rowOff>
    </xdr:to>
    <xdr:sp macro="" textlink="">
      <xdr:nvSpPr>
        <xdr:cNvPr id="4" name="Textfeld 1"/>
        <xdr:cNvSpPr txBox="1">
          <a:spLocks noChangeArrowheads="1"/>
        </xdr:cNvSpPr>
      </xdr:nvSpPr>
      <xdr:spPr bwMode="auto">
        <a:xfrm>
          <a:off x="228600" y="10248900"/>
          <a:ext cx="6315075" cy="2667000"/>
        </a:xfrm>
        <a:prstGeom prst="rect">
          <a:avLst/>
        </a:prstGeom>
        <a:solidFill>
          <a:srgbClr val="FFFFFF"/>
        </a:solidFill>
        <a:ln w="9525">
          <a:solidFill>
            <a:srgbClr val="BCBCBC"/>
          </a:solidFill>
          <a:miter lim="800000"/>
          <a:headEnd/>
          <a:tailEnd/>
        </a:ln>
      </xdr:spPr>
      <xdr:txBody>
        <a:bodyPr vertOverflow="clip" wrap="square" lIns="27432" tIns="18288" rIns="0" bIns="0" anchor="t" upright="1"/>
        <a:lstStyle/>
        <a:p>
          <a:pPr algn="l" rtl="0">
            <a:defRPr sz="1000"/>
          </a:pPr>
          <a:r>
            <a:rPr lang="de-DE" sz="1100" b="1" i="0" u="none" strike="noStrike" baseline="0">
              <a:solidFill>
                <a:srgbClr val="000000"/>
              </a:solidFill>
              <a:latin typeface="Calibri"/>
            </a:rPr>
            <a:t>Aufgabe 2b (Zwischenraumbreite vorgegeben)</a:t>
          </a:r>
        </a:p>
        <a:p>
          <a:pPr algn="l" rtl="0">
            <a:defRPr sz="1000"/>
          </a:pPr>
          <a:endParaRPr lang="de-DE" sz="1100" b="1"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9 quadratische Fotos mit einer Auflösung von 180 dpi sollen auf einem Hochformat mit DIN-Proportion angeordnet werden. Die Breite des Hochformats soll 1488 px sein .</a:t>
          </a:r>
          <a:endParaRPr lang="de-DE" sz="1100" b="0" i="0" u="none" strike="noStrike" baseline="0">
            <a:solidFill>
              <a:srgbClr val="000000"/>
            </a:solidFill>
            <a:latin typeface="Calibri"/>
          </a:endParaRPr>
        </a:p>
        <a:p>
          <a:pPr algn="l" rtl="0">
            <a:defRPr sz="1000"/>
          </a:pPr>
          <a:endParaRPr lang="de-DE" sz="1100" b="0"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Das Grundlinienraster besteht aus 3 gleich breiten Bild-Spalten (Bildbreite) mit gleichen Abständen dazwischen und zu den beiden Rändern links und rechts (72 px).</a:t>
          </a:r>
        </a:p>
        <a:p>
          <a:pPr algn="l" rtl="0">
            <a:defRPr sz="1000"/>
          </a:pPr>
          <a:endParaRPr lang="de-DE" sz="1100" b="0"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Außerdem gibt es 3 gleiche Zeilen (Bildhöhe), wobei der Abstand zwischen den Zeilen dem doppelten Abstand zwischen den Spalten entsprechen soll. Auch der Rand ganz oben entspricht diesem Wert. Ganz unten ergibt sich ein breiter Randbereich, der für Text vorgesehen ist.</a:t>
          </a:r>
        </a:p>
        <a:p>
          <a:pPr algn="l" rtl="0">
            <a:defRPr sz="1000"/>
          </a:pPr>
          <a:endParaRPr lang="de-DE" sz="1100" b="1" i="0" u="none" strike="noStrike" baseline="0">
            <a:solidFill>
              <a:srgbClr val="000000"/>
            </a:solidFill>
            <a:latin typeface="Calibri"/>
          </a:endParaRPr>
        </a:p>
        <a:p>
          <a:pPr algn="l" rtl="0">
            <a:defRPr sz="1000"/>
          </a:pPr>
          <a:r>
            <a:rPr lang="de-DE" sz="1100" b="1" i="0" u="none" strike="noStrike" baseline="0">
              <a:solidFill>
                <a:srgbClr val="000000"/>
              </a:solidFill>
              <a:latin typeface="Calibri"/>
            </a:rPr>
            <a:t>Berechnen Sie  die exakte Position der Hilfslinien</a:t>
          </a:r>
          <a:endParaRPr lang="de-DE" sz="1100" b="0" i="0" u="none" strike="noStrike" baseline="0">
            <a:solidFill>
              <a:srgbClr val="000000"/>
            </a:solidFill>
            <a:latin typeface="Calibri"/>
          </a:endParaRPr>
        </a:p>
        <a:p>
          <a:pPr algn="l" rtl="0">
            <a:defRPr sz="1000"/>
          </a:pPr>
          <a:endParaRPr lang="de-DE"/>
        </a:p>
      </xdr:txBody>
    </xdr:sp>
    <xdr:clientData/>
  </xdr:twoCellAnchor>
  <xdr:twoCellAnchor editAs="oneCell">
    <xdr:from>
      <xdr:col>7</xdr:col>
      <xdr:colOff>152400</xdr:colOff>
      <xdr:row>63</xdr:row>
      <xdr:rowOff>9525</xdr:rowOff>
    </xdr:from>
    <xdr:to>
      <xdr:col>9</xdr:col>
      <xdr:colOff>647700</xdr:colOff>
      <xdr:row>80</xdr:row>
      <xdr:rowOff>104775</xdr:rowOff>
    </xdr:to>
    <xdr:pic>
      <xdr:nvPicPr>
        <xdr:cNvPr id="5"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0210800"/>
          <a:ext cx="2019300" cy="2847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704850</xdr:colOff>
      <xdr:row>121</xdr:row>
      <xdr:rowOff>57150</xdr:rowOff>
    </xdr:from>
    <xdr:to>
      <xdr:col>8</xdr:col>
      <xdr:colOff>438150</xdr:colOff>
      <xdr:row>138</xdr:row>
      <xdr:rowOff>152400</xdr:rowOff>
    </xdr:to>
    <xdr:pic>
      <xdr:nvPicPr>
        <xdr:cNvPr id="6"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19488150"/>
          <a:ext cx="2019300" cy="2847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28574</xdr:colOff>
      <xdr:row>168</xdr:row>
      <xdr:rowOff>114300</xdr:rowOff>
    </xdr:from>
    <xdr:to>
      <xdr:col>8</xdr:col>
      <xdr:colOff>761999</xdr:colOff>
      <xdr:row>186</xdr:row>
      <xdr:rowOff>76200</xdr:rowOff>
    </xdr:to>
    <xdr:grpSp>
      <xdr:nvGrpSpPr>
        <xdr:cNvPr id="37" name="Group 14"/>
        <xdr:cNvGrpSpPr>
          <a:grpSpLocks/>
        </xdr:cNvGrpSpPr>
      </xdr:nvGrpSpPr>
      <xdr:grpSpPr bwMode="auto">
        <a:xfrm>
          <a:off x="5333999" y="27317700"/>
          <a:ext cx="3019425" cy="2876550"/>
          <a:chOff x="1014" y="1636"/>
          <a:chExt cx="227" cy="302"/>
        </a:xfrm>
      </xdr:grpSpPr>
      <xdr:sp macro="" textlink="">
        <xdr:nvSpPr>
          <xdr:cNvPr id="38" name="Rectangle 1"/>
          <xdr:cNvSpPr>
            <a:spLocks noChangeArrowheads="1"/>
          </xdr:cNvSpPr>
        </xdr:nvSpPr>
        <xdr:spPr bwMode="auto">
          <a:xfrm>
            <a:off x="1014" y="1636"/>
            <a:ext cx="227" cy="30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9" name="Group 12"/>
          <xdr:cNvGrpSpPr>
            <a:grpSpLocks/>
          </xdr:cNvGrpSpPr>
        </xdr:nvGrpSpPr>
        <xdr:grpSpPr bwMode="auto">
          <a:xfrm>
            <a:off x="1027" y="1741"/>
            <a:ext cx="203" cy="92"/>
            <a:chOff x="919" y="1741"/>
            <a:chExt cx="203" cy="92"/>
          </a:xfrm>
        </xdr:grpSpPr>
        <xdr:sp macro="" textlink="">
          <xdr:nvSpPr>
            <xdr:cNvPr id="48" name="Rectangle 4"/>
            <xdr:cNvSpPr>
              <a:spLocks noChangeArrowheads="1"/>
            </xdr:cNvSpPr>
          </xdr:nvSpPr>
          <xdr:spPr bwMode="auto">
            <a:xfrm>
              <a:off x="919" y="1742"/>
              <a:ext cx="60" cy="91"/>
            </a:xfrm>
            <a:prstGeom prst="rect">
              <a:avLst/>
            </a:prstGeom>
            <a:solidFill>
              <a:srgbClr xmlns:mc="http://schemas.openxmlformats.org/markup-compatibility/2006" xmlns:a14="http://schemas.microsoft.com/office/drawing/2010/main" val="CCFFFF" mc:Ignorable="a14" a14:legacySpreadsheetColorIndex="4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5"/>
            <xdr:cNvSpPr>
              <a:spLocks noChangeArrowheads="1"/>
            </xdr:cNvSpPr>
          </xdr:nvSpPr>
          <xdr:spPr bwMode="auto">
            <a:xfrm>
              <a:off x="989" y="1742"/>
              <a:ext cx="60" cy="91"/>
            </a:xfrm>
            <a:prstGeom prst="rect">
              <a:avLst/>
            </a:prstGeom>
            <a:solidFill>
              <a:srgbClr xmlns:mc="http://schemas.openxmlformats.org/markup-compatibility/2006" xmlns:a14="http://schemas.microsoft.com/office/drawing/2010/main" val="CCFFFF" mc:Ignorable="a14" a14:legacySpreadsheetColorIndex="4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6"/>
            <xdr:cNvSpPr>
              <a:spLocks noChangeArrowheads="1"/>
            </xdr:cNvSpPr>
          </xdr:nvSpPr>
          <xdr:spPr bwMode="auto">
            <a:xfrm>
              <a:off x="1062" y="1741"/>
              <a:ext cx="60" cy="91"/>
            </a:xfrm>
            <a:prstGeom prst="rect">
              <a:avLst/>
            </a:prstGeom>
            <a:solidFill>
              <a:srgbClr xmlns:mc="http://schemas.openxmlformats.org/markup-compatibility/2006" xmlns:a14="http://schemas.microsoft.com/office/drawing/2010/main" val="CCFFFF" mc:Ignorable="a14" a14:legacySpreadsheetColorIndex="4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40" name="Group 11"/>
          <xdr:cNvGrpSpPr>
            <a:grpSpLocks/>
          </xdr:cNvGrpSpPr>
        </xdr:nvGrpSpPr>
        <xdr:grpSpPr bwMode="auto">
          <a:xfrm>
            <a:off x="1027" y="1840"/>
            <a:ext cx="203" cy="91"/>
            <a:chOff x="919" y="1840"/>
            <a:chExt cx="203" cy="91"/>
          </a:xfrm>
        </xdr:grpSpPr>
        <xdr:sp macro="" textlink="">
          <xdr:nvSpPr>
            <xdr:cNvPr id="45" name="Rectangle 7"/>
            <xdr:cNvSpPr>
              <a:spLocks noChangeArrowheads="1"/>
            </xdr:cNvSpPr>
          </xdr:nvSpPr>
          <xdr:spPr bwMode="auto">
            <a:xfrm>
              <a:off x="1062" y="1840"/>
              <a:ext cx="60" cy="91"/>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8"/>
            <xdr:cNvSpPr>
              <a:spLocks noChangeArrowheads="1"/>
            </xdr:cNvSpPr>
          </xdr:nvSpPr>
          <xdr:spPr bwMode="auto">
            <a:xfrm>
              <a:off x="990" y="1840"/>
              <a:ext cx="60" cy="91"/>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 name="Rectangle 9"/>
            <xdr:cNvSpPr>
              <a:spLocks noChangeArrowheads="1"/>
            </xdr:cNvSpPr>
          </xdr:nvSpPr>
          <xdr:spPr bwMode="auto">
            <a:xfrm>
              <a:off x="919" y="1840"/>
              <a:ext cx="60" cy="91"/>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41" name="Group 13"/>
          <xdr:cNvGrpSpPr>
            <a:grpSpLocks/>
          </xdr:cNvGrpSpPr>
        </xdr:nvGrpSpPr>
        <xdr:grpSpPr bwMode="auto">
          <a:xfrm>
            <a:off x="1027" y="1643"/>
            <a:ext cx="203" cy="91"/>
            <a:chOff x="919" y="1643"/>
            <a:chExt cx="203" cy="91"/>
          </a:xfrm>
        </xdr:grpSpPr>
        <xdr:sp macro="" textlink="">
          <xdr:nvSpPr>
            <xdr:cNvPr id="42" name="Rectangle 2"/>
            <xdr:cNvSpPr>
              <a:spLocks noChangeArrowheads="1"/>
            </xdr:cNvSpPr>
          </xdr:nvSpPr>
          <xdr:spPr bwMode="auto">
            <a:xfrm>
              <a:off x="989" y="1643"/>
              <a:ext cx="60" cy="91"/>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 name="Rectangle 3"/>
            <xdr:cNvSpPr>
              <a:spLocks noChangeArrowheads="1"/>
            </xdr:cNvSpPr>
          </xdr:nvSpPr>
          <xdr:spPr bwMode="auto">
            <a:xfrm>
              <a:off x="1062" y="1643"/>
              <a:ext cx="60" cy="91"/>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 name="Rectangle 10"/>
            <xdr:cNvSpPr>
              <a:spLocks noChangeArrowheads="1"/>
            </xdr:cNvSpPr>
          </xdr:nvSpPr>
          <xdr:spPr bwMode="auto">
            <a:xfrm>
              <a:off x="919" y="1643"/>
              <a:ext cx="60" cy="91"/>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wnloads\Mathe_fuer_Foto-Azub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sverzeichnis"/>
      <sheetName val="Hinweise"/>
      <sheetName val="Formelsammlung"/>
      <sheetName val="Kopieren"/>
      <sheetName val="Formeln schreiben"/>
      <sheetName val="Antwortsätze schreiben"/>
      <sheetName val="Winkel berechnen"/>
      <sheetName val="Rechteck"/>
      <sheetName val="Dreieck"/>
      <sheetName val="Kreis"/>
      <sheetName val="Papierformat-Nutzen"/>
      <sheetName val="Quader"/>
      <sheetName val="Volumen"/>
      <sheetName val="Mischung"/>
      <sheetName val="Hilfslinien 1"/>
      <sheetName val="Hilfslinien 2"/>
      <sheetName val="Auflösung_ppi_dpi"/>
      <sheetName val="Licht-Wellenlänge-Frequenz"/>
      <sheetName val="Reflektionsgesetz"/>
      <sheetName val="Projektion-Leitzahl"/>
      <sheetName val="Öffnungsverhältnis-Blende"/>
      <sheetName val="Blenden-Zeiten-Belicht.-Reihen"/>
      <sheetName val="Winkel"/>
      <sheetName val="Vergütung"/>
      <sheetName val="Polarisation"/>
      <sheetName val="Interferenz"/>
      <sheetName val="Brechung"/>
      <sheetName val="Brechung Prisma"/>
      <sheetName val="Brechung-Wölbung"/>
      <sheetName val="V_a_a'_f"/>
      <sheetName val="Opt. Rechnen_Varianten"/>
      <sheetName val="Belichtung-Bildweite"/>
      <sheetName val="Abb.-maßstab-Brennweite"/>
      <sheetName val="Proportionen"/>
      <sheetName val="Bildwinkel_-kreis_Sensorgröße"/>
      <sheetName val="Bildkreis-Shift"/>
      <sheetName val="Lichtabfall im Bildkreis"/>
      <sheetName val="projektive Verzeichnung"/>
      <sheetName val="Scheimpflug"/>
      <sheetName val="Auge Scharfsehen"/>
      <sheetName val="Zerstreuungskreis"/>
      <sheetName val="Schärfentiefe"/>
      <sheetName val="Digitalisieren"/>
      <sheetName val="Zins-Kredit"/>
      <sheetName val="Datenbank nutzen"/>
      <sheetName val="Zeitraffer"/>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24"/>
      <sheetName val="A-25"/>
      <sheetName val="A-26"/>
      <sheetName val="A-27"/>
      <sheetName val="A-28"/>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8"/>
      <sheetName val="A-49"/>
      <sheetName val="A-50"/>
      <sheetName val="A-51"/>
      <sheetName val="A-52"/>
      <sheetName val="A-53"/>
      <sheetName val="A-54"/>
      <sheetName val="A-55"/>
      <sheetName val="A-55a"/>
      <sheetName val="A-56"/>
      <sheetName val="A58"/>
      <sheetName val="A-59"/>
      <sheetName val="A-60"/>
      <sheetName val="A-61"/>
      <sheetName val="A-62"/>
      <sheetName val="A-63"/>
      <sheetName val="A-64"/>
      <sheetName val="A-65"/>
      <sheetName val="A-66"/>
      <sheetName val="A-67"/>
      <sheetName val="A-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304">
          <cell r="B304">
            <v>1</v>
          </cell>
          <cell r="C304" t="str">
            <v>-</v>
          </cell>
          <cell r="D304">
            <v>0</v>
          </cell>
        </row>
        <row r="305">
          <cell r="B305">
            <v>2</v>
          </cell>
          <cell r="C305" t="str">
            <v>Aufnahmetag</v>
          </cell>
          <cell r="D305">
            <v>3000</v>
          </cell>
        </row>
        <row r="306">
          <cell r="B306">
            <v>3</v>
          </cell>
          <cell r="C306" t="str">
            <v>Nutzungshonorar Anzeigen bundesweit 1 Jahr</v>
          </cell>
          <cell r="D306">
            <v>1000</v>
          </cell>
        </row>
        <row r="307">
          <cell r="B307">
            <v>4</v>
          </cell>
          <cell r="C307" t="str">
            <v>Nutzungshonorar Plakate bundesweit 1 Jahr</v>
          </cell>
          <cell r="D307">
            <v>1300</v>
          </cell>
        </row>
        <row r="308">
          <cell r="B308">
            <v>5</v>
          </cell>
          <cell r="C308" t="str">
            <v>Locationsuche</v>
          </cell>
          <cell r="D308">
            <v>2000</v>
          </cell>
        </row>
        <row r="309">
          <cell r="B309">
            <v>6</v>
          </cell>
          <cell r="C309" t="str">
            <v>Casting</v>
          </cell>
          <cell r="D309">
            <v>2000</v>
          </cell>
        </row>
        <row r="310">
          <cell r="B310">
            <v>7</v>
          </cell>
          <cell r="C310" t="str">
            <v>Assistent</v>
          </cell>
          <cell r="D310">
            <v>200</v>
          </cell>
        </row>
        <row r="311">
          <cell r="B311">
            <v>8</v>
          </cell>
          <cell r="C311" t="str">
            <v>Hilfskräfte</v>
          </cell>
          <cell r="D311">
            <v>200</v>
          </cell>
        </row>
        <row r="312">
          <cell r="B312">
            <v>9</v>
          </cell>
          <cell r="C312" t="str">
            <v>Visagistin</v>
          </cell>
          <cell r="D312">
            <v>800</v>
          </cell>
        </row>
        <row r="313">
          <cell r="B313">
            <v>10</v>
          </cell>
          <cell r="C313" t="str">
            <v>Stylistin</v>
          </cell>
          <cell r="D313">
            <v>800</v>
          </cell>
        </row>
        <row r="314">
          <cell r="B314">
            <v>11</v>
          </cell>
          <cell r="C314" t="str">
            <v>Model-Honorar</v>
          </cell>
          <cell r="D314">
            <v>4800</v>
          </cell>
        </row>
        <row r="315">
          <cell r="B315">
            <v>12</v>
          </cell>
          <cell r="C315" t="str">
            <v>Laienmodelle</v>
          </cell>
          <cell r="D315">
            <v>250</v>
          </cell>
        </row>
        <row r="316">
          <cell r="B316">
            <v>13</v>
          </cell>
          <cell r="C316" t="str">
            <v>Spesen/Fahrkosten für Laienmod.</v>
          </cell>
          <cell r="D316">
            <v>667.5</v>
          </cell>
        </row>
        <row r="317">
          <cell r="B317">
            <v>14</v>
          </cell>
          <cell r="C317" t="str">
            <v>Fotomaterial</v>
          </cell>
          <cell r="D317">
            <v>11</v>
          </cell>
        </row>
        <row r="318">
          <cell r="B318">
            <v>15</v>
          </cell>
          <cell r="C318" t="str">
            <v>Filmverarbeitung</v>
          </cell>
          <cell r="D318">
            <v>7</v>
          </cell>
        </row>
        <row r="319">
          <cell r="B319">
            <v>16</v>
          </cell>
          <cell r="C319" t="str">
            <v>Polaroids</v>
          </cell>
          <cell r="D319">
            <v>4</v>
          </cell>
        </row>
        <row r="320">
          <cell r="B320">
            <v>17</v>
          </cell>
          <cell r="C320" t="str">
            <v>Transportkosten</v>
          </cell>
          <cell r="D320">
            <v>265</v>
          </cell>
        </row>
        <row r="321">
          <cell r="B321">
            <v>18</v>
          </cell>
          <cell r="C321" t="str">
            <v>Leihgebühr für Scheinwerfer</v>
          </cell>
          <cell r="D321">
            <v>80</v>
          </cell>
        </row>
        <row r="322">
          <cell r="B322">
            <v>19</v>
          </cell>
          <cell r="C322" t="str">
            <v>Leihgebühr für Requisiten</v>
          </cell>
          <cell r="D322">
            <v>1492</v>
          </cell>
        </row>
        <row r="323">
          <cell r="B323">
            <v>20</v>
          </cell>
          <cell r="C323" t="str">
            <v>Bewirtung der Crew und der Modelle</v>
          </cell>
          <cell r="D323">
            <v>470</v>
          </cell>
        </row>
        <row r="324">
          <cell r="B324">
            <v>21</v>
          </cell>
          <cell r="C324" t="str">
            <v>Aufnahmegenehmigung durch Ordnungsamt</v>
          </cell>
          <cell r="D324">
            <v>35</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ink/ink1.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383"/>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-1 837,'0'12,"0"-12,0 0,16 0,-7-15,16 6,-6-14,17 3,-2-16,11-4,3-9,6-8,2-7,7-7,1-7,5-1,-1 4,-7 6,-4 9,-7 12,-10 13,-14 20,-13 18,-13 19,-12 18,-7 15,-10 11,-2 5,-4 5,-1 3,1-6,2-6,17-8,-8-22,18-5,6-14,0-18,23 0,-23 0</inkml:trace>
  <inkml:trace contextRef="#ctx0" brushRef="#br0" timeOffset="1">1120 576,'0'63,"0"-34,-9-7,9 0,0-8,0-14,0 0,0 0</inkml:trace>
  <inkml:trace contextRef="#ctx0" brushRef="#br0" timeOffset="2">21311 1461,'-83'-11,"34"-8,3-8,-10-13,21 4,-10-11,15-1,4-1,15-4,11 1,12 4,13 1,12 4,17 2,6 1,20 6,-4 1,24 0,0-2,6 0,-106 35</inkml:trace>
</inkml:ink>
</file>

<file path=xl/ink/ink10.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47"/>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600 33,'22'-16,"-22"16,17-8,-22-1,5 9,0 0,11 17,-20-2,9 8,-15 9,3 6,-5 9,-5 8,-1 6,-2-2,15 11,-11-15,8-8,6-14,14-15,-7-18</inkml:trace>
</inkml:ink>
</file>

<file path=xl/ink/ink11.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48"/>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147-318,'-5'-21,"5"3,4 6,13 9,-1-6,16 9,-1 0,10 7,-1 4,2 8,-2 5,-3 9,-12 3,-5 7,-12 6,-8 3,-9 4,-10 2,0-1,1-1,-1 0,5-1,4-5,5-4,5-6,3-5,4-2,-2-6,-5-5,0-3,-7-3,-7-4,-10-3,-6-2,-11-7,-4 3,-5-3,1-4,4-1,3-1,12 0,10-3,20 9,0 0,32-13,4 2,10-4,-46 15</inkml:trace>
  <inkml:trace contextRef="#ctx0" brushRef="#br0" timeOffset="1">1379-109,'-37'-31,"4"23,-12 8,-12-5,6 19,-10 3,7 9,1 5,8 3,12 2,12 1,10-3,11 1,14-5,9-4,7-3,6 0,3-3,0 1,-3-5,-7 2,-10 0,-10 3,-13 0,-19 1,-10-1,-13 0,-11 0,-3-4,-6-2,5-4,8-5,9-3,11-3,12 0,21 0,0 0,31-9,0 0,10 0,-41 9</inkml:trace>
  <inkml:trace contextRef="#ctx0" brushRef="#br0" timeOffset="2">1586 155,'0'-11,"0"-2,0 13,-16 11,-5-4,3 14,-10 3,3 12,-4 4,3 5,3 2,9-1,6-5,8-5,15-10,12-16,8-10,11-18,11-13,5-10,3-8,1-5,-11 1,-12 1,-15 3,-19 9,-24 13,-21 14,-12 20,-19 10,-1 14,-7 8,7 5,68-44</inkml:trace>
</inkml:ink>
</file>

<file path=xl/ink/ink12.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51"/>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42-1075,'-16'-9,"16"9,0 0,-21-19,21 19,0-13,0 13,13-13,0 5,0-2,11 5,4-6,5 7,1 0,9 8,1 1,5 5,-2 3,-4 3,-5 7,-5 0,-5 5,-15 2,-7 10,-15-1,-8 10,-15 3,-7 5,-11 0,-3 3,-5-7,5-2,3-8,7-7,6-6,9-8,9-3,5-12,9 3,5-10,0 0,25 8,6-5,9-3,12 7,9-3,11 2,4 0,2 1,2-2,-7-5,9 9,-12-9,1-4,-5-5,-2-6,-64 15</inkml:trace>
</inkml:ink>
</file>

<file path=xl/ink/ink13.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52"/>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0 2318,'35'-3,"-15"3,-2-17,15 5,-4-10,10 3,-7-14,9 3,-2-8,6-3,-3-5,0-2,-4 0,-3 2,-5 4,-6 3,-9 5,-7 9,-8 6,-7 9,-4 7,-9 10,-2 9,-4 5,-3 11,2 6,-1 7,1 6,1 4,7 1,7-4,3-2,15-9,3-9,13-7,7-10,10-15,6-7,1-7,1-9,-4-1,-4-2,-8 0,-5-1,-17 5,-9 5,-7 2,-15 9,-4 3,-5 3,-4 13,3-1,6 7,0-7,21 10,5-9,0-13,29 9,-29-9</inkml:trace>
  <inkml:trace contextRef="#ctx0" brushRef="#br0" timeOffset="1">978 1948,'10'-12,"3"-1,9 13,-14-13,19 13,-9-10,13 10,-5-3,6 3,-6 4,-1 2,-4 3,-4 6,-10 2,-7 4,-4 4,-13 1,-7 8,-8 0,-2 0,-6-2,9-2,1-4,10-2,7-6,13-4,0-14,29 8,-11-18,10 1,1-4,2-3,-5-2,-26 18</inkml:trace>
  <inkml:trace contextRef="#ctx0" brushRef="#br0" timeOffset="2">1016 2095,'29'0,"-11"-5,6 2,6 6,-10-6,14 3,-8 0,0 0,2 0,-8 0,6-5,-9-2,2 0,1 3,-20 4</inkml:trace>
  <inkml:trace contextRef="#ctx0" brushRef="#br0" timeOffset="3">1450 2017,'0'0,"0"0,0 0,0 0,0 12,-5 5,-9 0,3 10,-5-1,2 6,-2-4,6-1,5-4,5-1,0-10,0-12,17 10,-17-10,30 0,-14 0,4 0,-2 0,1 0,0 7,0-3,4 0,-2 1,1-1,2-4,1 0,0-4,1-3,-4-4,0 2,-7-4,-2 1,-10 0,-3 1,-8-2,0 5,-11-5,7 5,-10-3,8 5,-2-2,16 8,-14-15,14 15,7-11,5 1,11 1,-2-13,19 4,13-5,6-5,-59 28</inkml:trace>
  <inkml:trace contextRef="#ctx0" brushRef="#br0" timeOffset="4">2289 2106,'0'0,"0"0,0 0,-15 7,15 4,0-11,-9 15,9-15,-10 20,7-9,-3-2,12 10,-6-9,0-10,15 12,-15-12</inkml:trace>
</inkml:ink>
</file>

<file path=xl/ink/ink14.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57"/>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47 711,'-25'13,"10"-9,15-4,-7 12,7-12,0 0,0 0,25-6,-8-10,15-1,2-9,11-3,6-4,3-4,2-5,-1 7,-7 2,-4 4,-11 8,-5 5,-10 4,-6 6,-12 6,0 0,0 11,-11 3,-4 3,0 5,-5 5,-4 6,-1 5,-4 6,-1 4,3-4,3 6,-6-13,20 2,-5-7,7-9,8-8,0-15</inkml:trace>
  <inkml:trace contextRef="#ctx0" brushRef="#br0" timeOffset="1">1197 0,'0'15,"-18"9,-6 8,4 16,-22-2,14 20,-18 2,6 17,-11 2,3 8,-6 3,-1 8,-5 0,0 0,-4-1,0-8,6-2,-2-17,14-2,-3-19,16-16,7-16,26-25,0 0</inkml:trace>
  <inkml:trace contextRef="#ctx0" brushRef="#br0" timeOffset="2">1316 534,'30'-21,"-13"14,-5-8,16 11,-12-8,14 7,-11-3,8 8,-4-4,1 4,-2 7,-1 3,-4 2,-2 7,-4 5,-6 4,-5 5,-9 7,-11 3,-6 3,-10 6,-10-2,-3 1,-5-2,2-1,1-5,7-5,5-7,10-6,11-3,9-7,9 0,0-15,33 15,1-8,14-3,13 1,12-2,9-3,9 0,12 0,-8-5,4-3,-2-6,-12-3,-85 17</inkml:trace>
</inkml:ink>
</file>

<file path=xl/ink/ink15.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60"/>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98-619,'-13'-14,"13"3,0 11,-6-25,16 16,-10-13,20 11,-4-6,10 3,1 3,8 6,2 1,5 4,-2 10,-1 7,-3 1,-3 8,-9 5,-3 3,-11 3,-10 4,0 3,-15 2,-7 2,-8 0,-7 3,-6-3,-4-1,-4-1,1-4,-1 0,7-8,7-5,7-5,6-5,10-4,14 0,0-15,26 14,2-14,10 0,6 0,13-7,3-2,4-4,0 2,-9-6,6 6,-11 1,-7 4,-11 1,-32 5</inkml:trace>
  <inkml:trace contextRef="#ctx0" brushRef="#br0" timeOffset="1">1076-45,'0'28,"0"-7,-18-6,3-2,10 5,5-18,0 0</inkml:trace>
  <inkml:trace contextRef="#ctx0" brushRef="#br0" timeOffset="2">21643-393,'-29'-24,"29"24,0-13,0 13,35 5,-35-5</inkml:trace>
</inkml:ink>
</file>

<file path=xl/ink/ink16.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63"/>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3663 3819,'13'-63,"-13"39,0 13,0 11,0 0,-8 26,8 15,-22 14,10 26,-14 13,3 15,-3 7,3 2,5-10,8-19,10-18,12-26,16-22,2-23,11-12,-7-18,7 5,-9-5,-2 9,-6-1,-6 14,0 4,-6 4,3 12,-4-4,10 8,-2-9,8 4,-4-11,8 0,-1-12,6-3,0-5,0-4,-5-1,-2-3,-4 0,-3 4,-11-8,-3 5,-13-8,2-3,-14-7,1 0,-8-4,5 2,-2 3,3 1,3 12,1 2,18 18,-4 11,16-10,0 13,-16-3</inkml:trace>
  <inkml:trace contextRef="#ctx0" brushRef="#br0" timeOffset="1">4742 4304,'0'34,"0"-23,0-11,0 20,0-20,0 13,0-13,15 0,-2-7,7-3,2-5,5-2,-2-7,2 2,-2-2,-4 3,-4 5,-7 4,-10 12,0 0,0 11,-12 8,-4 9,-1 4,-4 4,3 4,3 0,4-3,11-3,7-3,14-7,13-9,14-9,8-10,15-6,3-14,4-6,-3-10,2-7,-11 0,-6 4,-14 0,-12 6,-11 5,-16 5,-7 9,-18 7,-11 11,-8 0,-2 18,-8 3,4 8,3 6,6 6,7 4,18 0,9 1,10-6,19-5,8-9,11-4,-2-19,11-3,0-9,2-10,-59 19</inkml:trace>
  <inkml:trace contextRef="#ctx0" brushRef="#br0" timeOffset="2">5626 4031,'-99'-27,"62"18,10-1,10 3,17 7,20-6,10-1,12 0,13-1,-55 8</inkml:trace>
  <inkml:trace contextRef="#ctx0" brushRef="#br0" timeOffset="3">6256 4149,'0'0,"-13"10,8 14,-10 3,4 13,-6 5,4 7,1 0,7 0,5-5,9-9,7-9,5-11,11-9,1-14,7-7,-8-11,6-3,-8-10,-3 1,-6-8,-11 6,-5 0,-8-2,3 10,-12 0,6 9,-5-1,11 12,0-2,0 11,23-11,-3 11,4 0,3 7,2-2,-1 5,-3 4,-5 10,-7 6,-6 3,-2 5,-5 1,0 3,0 2,0-8,16-4,2-8,12-9,10-10,10-5,7-14,6-6,3-5,1-5,0-7,-3-2,-8 1,-6 0,-7 2,-8 5,-8 1,-10 3,-13 8,-4 8,0 11,-29 4,4 10,2 11,-7 6,6 13,2 0,7 6,7-3,8-2,7-7,7-8,19-9,-7-21,19-4,0-10,0-12,-45 26</inkml:trace>
  <inkml:trace contextRef="#ctx0" brushRef="#br0" timeOffset="4">7463 3822,'-51'-45,"35"33,0 4,16 8,0-10,17 10,1-6,14 6,6-4,14 4,-52 0</inkml:trace>
  <inkml:trace contextRef="#ctx0" brushRef="#br0" timeOffset="5">7857 4301,'14'11,"2"-11,-2-14,18 4,-6-18,12-2,1-11,7-4,-2-8,2-1,-5-2,-2 2,-9 4,-5 3,-14 3,-11 11,-5 7,-9 13,-17 13,-4 13,-10 14,-2 12,0 13,-2 11,2 9,6 9,11-1,9 0,14-6,10-2,15-11,8-11,16-16,11-14,9-13,4-11,8-11,-2-13,3-5,-7-4,-7-2,-16-2,-12 6,-18 4,-15 7,-13 14,-14 10,-6 18,-10 10,5 16,0 7,11 9,8 0,16-5,17-5,10-14,31-14,7-13,12-25,16-12,-90 28</inkml:trace>
</inkml:ink>
</file>

<file path=xl/ink/ink17.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69"/>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29 514,'6'-40,"2"20,9 4,11 5,-5-3,22 10,-3-4,10 14,0 2,4 8,-6 12,-4 7,-11 6,-10 11,-16 7,-14 8,-16 4,-11 8,-12-3,-4 5,-8-4,6 0,4-8,11-5,14-9,9-4,12-11,19-11,18-6,10-20,8-15,1-11,-1-10,-55 33</inkml:trace>
  <inkml:trace contextRef="#ctx0" brushRef="#br0" timeOffset="1">108 967,'-79'13,"54"-7,21-16,20 10,11-6,21-4,7-2,9-4,10 2,2-9,13 9,-2-2,2 0,-1 0,-88 16</inkml:trace>
  <inkml:trace contextRef="#ctx0" brushRef="#br0" timeOffset="2">1074 757,'78'-22,"-54"16,-24 6,17 18,-32 1,4 22,-19 7,3 13,-10 9,2 4,-2-4,10-8,8-8,7-13,15-16,12-8,11-13,5-7,11 3,-8-8,11 8,-8 0,3 12,-8-3,2 4,-5-2,0-1,-1-6,-4-7,3-9,-2-9,-4-4,-1-7,-7-3,-8-2,-5 0,0 1,-5 4,-3 1,8 5,0 2,8 4,9-1,10 6,9-2,11 5,5 0,3 6,1 6,1 6,-7 7,-2 7,-10 6,-5 4,-5 8,-7 3,-9 3,1-4,-3-2,-5-7,2-4,-7-13,19-3,-19-11,24-21,-14-3,-10 24</inkml:trace>
  <inkml:trace contextRef="#ctx0" brushRef="#br0" timeOffset="3">1271 1195,'0'0,"0"0,16-4,-16 4,0 0,0 0,15 0,-15 0,7 12,-7-12,-3 25,-3-5,-7 2,13 9,-15-3,1-4,4-2,-2-2,12-20</inkml:trace>
  <inkml:trace contextRef="#ctx0" brushRef="#br0" timeOffset="4">2208 743,'-5'-76,"5"54,-7 6,1 6,6 10,14 7,1-4,-1 1,5 2,-19-6</inkml:trace>
  <inkml:trace contextRef="#ctx0" brushRef="#br0" timeOffset="5">2822 693,'-55'12,"14"-1,-8 1,9 16,-12-1,13 18,-8-3,15 9,0 1,5 1,5-4,7 0,-1-7,2-4,-1-5,-2-6,-1-4,-2-5,-6-3,-2-8,5-2,-2-15,12 2,-2-15,21 0,-1-4,16-6,10 3,-31 30</inkml:trace>
  <inkml:trace contextRef="#ctx0" brushRef="#br0" timeOffset="6">3180 912,'17'-12,"-17"12,0-11,0 11,-14-6,14 6,-29 0,10 0,-12 11,-5 9,-8 13,-9 7,-5 11,1 6,6 3,6 2,10 0,12-10,15-12,17-10,15-15,12-12,6-10,11-14,4-17,9-9,1-11,-2-11,8-11,-2-6,6-8,-4-3,-4 0,-2-2,-9 1,-5 14,-13 5,-3 18,-18 11,-7 17,-12 21,-5 23,-12 23,-6 19,-9 17,-6 20,-5 12,-2 9,-1 7,1-3,7-7,5-11,13-12,6-18,14-16,0-16,15-18,2-12,11-12,-3-9,0-8,1-9,-1 0,-2-1,-3 0,-2 7,-7 5,-2 9,-9 13,0 11,-3 9,-3 14,-6 3,7 3,5-2,0-3,12-2,2-19,10-10,5-11,4-12,-33 19</inkml:trace>
  <inkml:trace contextRef="#ctx0" brushRef="#br0" timeOffset="7">4178 1100,'13'-11,"8"2,-10-2,6 4,-4-8,6 2,-6-4,9-2,-8-1,-2 1,-3-1,-4 3,-5 2,0 15,-24-13,4 16,-10 7,-1 8,-4 2,1 7,-3 0,3 4,6-2,6 0,3-5,11 1,2-1,6 1,12-4,3-2,9-4,2-4,11-4,-1-7,7-8,-1-6,2-5,-1 1,-3-1,-6-1,-4 5,-8 4,-3 2,-19 9,11 4,-11 5,-10 8,-1 3,-1 0,5 3,0-2,7-5,0-16,26 10,-1-18,6-7,5-3,5-3,-2 2,-3 1,-8 7,-2 11,-11 0,-5 10,-3-70,-2 86,6 0,1 1,-12-27,38 42,5-39,12-3,-1 63,-54-63</inkml:trace>
  <inkml:trace contextRef="#ctx0" brushRef="#br0" timeOffset="8">5742 680,'-76'35,"36"-2,-6 2,7 11,-3-6,17 5,1-5,18 2,2-9,19 1,1-6,13 2,0-4,2 1,-8-4,-1 1,-9-3,-8-3,-5 0,-21-2,-7-1,-12-4,1 5,-12-7,-2-9,7 0,46 0</inkml:trace>
  <inkml:trace contextRef="#ctx0" brushRef="#br0" timeOffset="9">6931 0,'0'10,"-14"5,-3 9,1 9,-6 6,-1 11,-5 10,0 13,-2 10,-6 10,-3 11,7 9,-10-11,42-102</inkml:trace>
  <inkml:trace contextRef="#ctx0" brushRef="#br0" timeOffset="10">6318 964,'-49'-58,"24"35,-1-4,11 12,-9-6,12 11,-10-2,22 12,-22-7,22 7,-16 10,16 4,0 4,0 7,11-1,7 1,5 1,14 0,4-6,7-6,5-10,5-4,2-7,1-3,-5-7,-2-1,-9-2,-2 2,-2-1,-7 4,-7 0,-2 3,-5 4,-4 2,-16 6,19 0,-19 10,0 11,-9 3,2 11,-6 5,1 7,-1 1,6 2,1-7,6-7,12-8,8-12,11-10,8-13,11-10,2-7,3-5,2 1,-6-2,-6 8,-9 8,-12 14,-11 9,-8 15,-5 10,-6 4,1 3,5 0,3-5,11-13,18-4,2-24,11-11,6-10,-1-13,-50 39</inkml:trace>
  <inkml:trace contextRef="#ctx0" brushRef="#br0" timeOffset="11">6591 876,'13'-35,"-6"26,-7 9,0 0,0 10,-14 9,2 17,-16 6,7 14,-9 2,0 8,4-3,3-7,20-3,3-18,8-15,12-12,-20-8</inkml:trace>
  <inkml:trace contextRef="#ctx0" brushRef="#br0" timeOffset="12">8192 549,'106'-149,"-64"75,-3 7,-20 4,5 16,-24 6,0 20,-21 9,0 24,-13 14,-5 22,-8 16,-3 26,-9 16,-1 22,2 14,-2 10,5 8,0-2,5-2,1-16,17-5,-2-23,10-20,6-20,18-72</inkml:trace>
  <inkml:trace contextRef="#ctx0" brushRef="#br0" timeOffset="13">7609 1332,'-21'-56,"11"43,-3 5,23 18,-10-10,31 16,-3-10,18 5,4-4,14-1,5-6,6 0,4-6,5-6,-4-5,0-7,-1-4,-5-3,0-2,-6-3,-5-1,-9 1,-10 4,-9 0,-15 8,-12 4,-18 8,-12 12,-13 5,-7 8,-5 10,-2 6,3 2,1 4,8 0,12 2,5-5,14 1,6-5,11-2,7-6,5-4,11-9,3-7,6-7,0-8,5-5,1-6,-1-3,-3-2,-7 4,-1 1,-9 6,-7 7,-8 9,-13 4,10 18,-10 3,-10 4,6 1,4 1,0-2,9-7,10-11,9-7,8-8,6-6,5-3,-1 1,-3 7,-9 9,-7 11,-11 11,-11 10,0 4,-5-2,6 9,7-15,14-13,12-15,17-10,-56 10</inkml:trace>
</inkml:ink>
</file>

<file path=xl/ink/ink18.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83"/>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3772 479,'58'-48,"-33"23,-6 7,-11-5,4 14,-22-6,10 15,-28-14,3 19,-6-1,-4 6,-4 3,1 3,4 6,3 2,7 2,8 0,12 0,4 0,13 3,2-4,6 0,5-2,0 2,-1-3,-1 2,-6-1,-3 1,-9 1,-6-2,0 0,-11-4,-9 0,1-1,-6-4,-1-6,-3-4,0-4,2 0,0-10,4-1,4-5,4-2,7-1,8 0,0 1,13 0,8 3,6 0,8 4,5 1,9 0,7 0,3 2,1 0,3-1,-3 0,3 1,-8 1,-5 2,-10 5,-9 0,-5 10,-10 2,-7 4,-9 1,0 4,0-1,0-4,0-16,15 13,0-13,5-9,6-3,2-1,-1 0,-3 1,0 4,-6 2,-3 6,-3 3,-12-3,26 15,-11-7,4 2,5-3,2-2,9 4,0-6,-6-8,1 1,-30 4</inkml:trace>
  <inkml:trace contextRef="#ctx0" brushRef="#br0" timeOffset="1">5309 519,'-29'-14,"5"14,-8 0,5 17,-11-2,5 13,-6-2,7 8,4-1,9-3,7 1,9-9,13 0,4-13,12-4,1-12,13 0,-5-13,9-4,-2-8,1-5,1-4,-2-5,0-5,-5-8,9 1,-9-10,7 7,-10-6,0 10,-9 5,1 10,-10 9,-6 18,-10 15,-5 23,-11 18,-4 21,-5 17,-5 13,0 8,2 4,3-1,8-11,13-6,0-19,12-22,9-17,9-17,-26-11</inkml:trace>
</inkml:ink>
</file>

<file path=xl/ink/ink19.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85"/>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4880 528,'22'-64,"-22"31,-12 6,1 12,-17 2,2 13,-10 0,4 18,-6 5,3 8,8 7,4 7,11 10,6 6,12 9,-2 2,15 11,-1 7,-2-3,-16-87</inkml:trace>
  <inkml:trace contextRef="#ctx0" brushRef="#br0" timeOffset="1">4677 1729,'-72'19,"33"-27,-5-15,14-1,-6-22,13 3,-2-11,16 0,5-5,14 5,6-1,7 7,9-2,10 5,7 1,8 3,9-2,7 3,8-6,3-2,9 3,0-2,0 1,-6-1,-9 1,-9 0,-12 5,-13 4,-18 2,-12 8,-14 8,-17 9,-13 10,-8 7,-8 11,-3 7,0 6,4 8,3 4,7 6,8 1,13 4,10-2,4-2,14 2,2-9,17 1,-1-14,9-15,2-11,6-11,-49 7</inkml:trace>
  <inkml:trace contextRef="#ctx0" brushRef="#br0" timeOffset="2">4675 1227,'-10'-10,"10"10,0 0,-13-11,13 11,0 0,0 0,0 0,0 0,-6 23,10 3,-4 3,5 12,-5 4,0 6,-6 1,-2 1,-4-7,-6-5,0-9,-3-8,3-9,-1-8,19-7,-20-10,27-1,1-11,7-3,7-3,-22 28</inkml:trace>
  <inkml:trace contextRef="#ctx0" brushRef="#br0" timeOffset="3">5891 540,'21'-40,"-12"23,-9 17,0-14,-4 26,-21 9,4 19,-15 8,-1 14,-8 3,6 7,4-7,10-6,13-16,12-10,5-15,12-13,10-10,1-9,4-3,0 2,-2 0,-1 4,0 6,-6 5,3 7,0 1,-3 3,2-4,0-4,-3-3,-2-11,-1-5,-6-7,-5-1,-8-3,0 1,-14-3,2 6,-7 0,4 9,-3 2,5 4,13 8,0 0,0-9,28 4,15 1,7-8,26-3,4-10,7-3,6-7,-93 35</inkml:trace>
  <inkml:trace contextRef="#ctx0" brushRef="#br0" timeOffset="4">6746 499,'0'0,"0"0,6 11,-21 3,5 13,-17-3,9 11,-14 3,5 9,-4-3,4 4,3-3,2-6,9-3,7-9,6-9,0-18,41 6,-9-23,14-6,4-6,7-5,-1-5,3-3,-8-1,-3 6,-8 5,-10 4,-6 7,-14 9,-10 12,0 0,-12 25,-10-3,1 12,-7 0,4 5,4-4,6-4,8-4,6-8,20-9,2-14,18-2,-2-17,17 4,-12-12,14 6,-17-8,6 9,-19 1,-3 6,-10 10,-14 7,0 0,-13 12,5 9,-13-3,8 6,-2-2,4-3,4-3,7-16,10 15,-10-15,32-16,-2 6,-3-8,-27 18</inkml:trace>
  <inkml:trace contextRef="#ctx0" brushRef="#br0" timeOffset="5">7477 711,'0'0,"-7"7,7-7,0 0,0 0,-8 18,8-18,0 13,6-2,-6-2,6 4,-6-13,15 19,-15-19,27 12,-27-12,36 0,-11-3,-6-7,-19 10</inkml:trace>
  <inkml:trace contextRef="#ctx0" brushRef="#br0" timeOffset="6">7355 383,'-56'-19,"36"7,20 3,0 9,10-14,18 14,3-4,-31 4</inkml:trace>
  <inkml:trace contextRef="#ctx0" brushRef="#br0" timeOffset="7">8379 527,'-43'-31,"10"28,-9-3,12 14,-15-1,13 10,-8 0,14 7,2 0,12 2,5 0,7 1,8-1,4 0,6 4,0-5,4 1,-6-3,0 0,-10-4,-6-1,-6-3,-12-3,-11-5,-9-2,0-5,-3 0,0-3,6-4,1-8,19 10,4-7,11 1,15-3,-15 14</inkml:trace>
  <inkml:trace contextRef="#ctx0" brushRef="#br0" timeOffset="8">8974 660,'-43'-13,"12"8,-6 0,-1 15,-15-1,1 10,-11 5,3 6,1 5,8 7,9-4,12 0,14-2,12-5,15-4,9-9,11-4,5-14,12 0,-8-18,14 2,-7-16,9-1,-6-12,4-3,-4-8,-1-8,2 1,-6-11,1 7,-11-6,2 4,-7 2,-5 10,-7 5,-4 12,-9 9,-5 14,0 17,-18 6,-7 19,1 21,-8 13,-3 18,-6 11,-2 9,-1 4,5-4,3-7,6-13,12-15,10-22,11-17,14-19,14-11,4-17,8-4,2-8,-1 1,-3 4,-9 4,-2 14,-14 9,-3 18,-13 8,0 14,-7 4,7 6,-8-1,8-2,9-9,-2-10,16-1,-13-16,17-10,0-7,4-6,-31 16</inkml:trace>
  <inkml:trace contextRef="#ctx0" brushRef="#br0" timeOffset="9">10126 0,'0'12,"-13"21,-17 10,0 26,-19 9,-2 22,-8 5,-3 5,6 0,-1-11,14-5,-3-27,24-9,-3-23,17-17,8-18,0 0</inkml:trace>
  <inkml:trace contextRef="#ctx0" brushRef="#br0" timeOffset="10">9634 837,'-7'-92,"-8"48,2 10,-12-2,9 15,-16 1,12 15,-10 2,11 13,-2 0,12 11,5-2,14 3,15-3,14-4,14-8,17-7,11 0,4-23,8 5,1-9,-7-2,-5-3,-82 32</inkml:trace>
  <inkml:trace contextRef="#ctx0" brushRef="#br0" timeOffset="11">10795 259,'0'0,"0"0,11-42,-11 42,0 0,0 0,0 0,49-55,-49 55,0 0,62-34,-62 34,0 0,66-24,-66 24,0 0,62-9,-62 9,0 0,62 20,-62-20,0 0,42 46,-42-46,13 47,-13-47,-5 59,5-59,-15 68,15-68,-39 78,11-36,-3 38,-46 5,-2-3,5-8,-4-4,14-9,13-10,21-13,30-38,0 0,0 0,0 0,63 39,-63-39,59 0,-59 0,0 0</inkml:trace>
  <inkml:trace contextRef="#ctx0" brushRef="#br0" timeOffset="12">10597 1445,'0'0,"0"0,0 0,-17 0,-1 5,4 7,-7-3,7 9,-1-2,-6 4,13-1,-1 2,5-3,4-4,9-3,6-11,7 0,-22 0,0 0,61-28,-61 28,0 0,77-40,-77 40,0 0,54-56,-54 56,10-61,-10 41,-10-6,-13 11,23 15</inkml:trace>
  <inkml:trace contextRef="#ctx0" brushRef="#br0" timeOffset="13">10580 1106,'0'0,"13"-5,-13 5,0 0,13-4,-13 4,0 0,0 0,0 0,0 0,60-5,-60 5,0 0,0 0,73 0,-73 0,0 0,68-3,-68 3,0 0,64-10,-64 10,0 0</inkml:trace>
</inkml:ink>
</file>

<file path=xl/ink/ink2.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386"/>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19862 269,'25'-96,"-13"55,-3 0,6 13,-15 1,15 14,-15 13,-5 17,-14 23,0 27,-13 21,-2 14,-7 13,5 2,0-4,9-17,12-20,15-25,9-21,10-19,11-15,1-10,6-4,-7-1,1 4,-8 5,1 10,-7 6,-2 10,1 2,0 4,5 1,0-9,7-4,3-17,8-6,-1-16,5-9,3-11,-1-3,-6-3,-4 1,-11-1,-9 2,-15 2,-6 4,-13-2,-1 6,-6 2,-1 7,8 9,0 2,19 23,-6-16,20 24,10 4,7 5,-31-17</inkml:trace>
  <inkml:trace contextRef="#ctx0" brushRef="#br0" timeOffset="1">20730 767,'47'5,"-20"-11,2-6,-5-5,16 2,-13-8,6 2,-8-3,-3 1,-10 4,-3 1,-9 5,0 13,-35-11,0 17,-3 5,-8 13,-5 2,3 11,0 2,8 4,11 0,16 0,9-7,20-10,14-9,17-11,13-14,10-11,6-15,8-11,4-11,-5-11,3-3,-11-2,-1-6,-11 3,-6 3,-13 5,-13 5,-12 9,-19 9,-8 13,-22 16,-9 15,-12 19,-4 17,-2 18,5 19,6 11,7 8,15-2,17-6,13-3,12-15,22-12,3-21,17-17,7-16,9-14,-76 14</inkml:trace>
  <inkml:trace contextRef="#ctx0" brushRef="#br0" timeOffset="2">22288 611,'20'-22,"-20"7,0-3,0 6,-19-9,6 11,-18-6,1 16,-15 0,0 13,-8 4,0 13,-2 5,5 8,8 4,11-1,13 2,12-6,16-5,10-12,15-9,5-12,16-10,1-15,5-11,1-12,5-11,-1-7,1-7,-3-5,-6-1,-4 0,-7 1,-5 2,-11 4,-6 10,-10 7,-4 12,-12 14,0 25,-19 0,-4 34,-8 15,-4 20,-6 18,-3 14,2 10,0-6,16-8,7-10,15-19,9-20,14-20,11-21,10-18,3-12,1-5,-3-8,-7 1,-6 5,-10 2,-6 14,-12 14,-7 9,-12 13,4 13,-6 7,5 3,2 1,6-3,15-10,4-16,26 0,-3-26,13-10,4-9,-51 28</inkml:trace>
  <inkml:trace contextRef="#ctx0" brushRef="#br0" timeOffset="3">23321 619,'8'19,"1"-5,-9-14,12 12,5-7,-17-5,28-8,-6 0,-5-3,1-5,-5-1,-4-3,-9 1,0 4,-5 1,-12 0,-4 10,-12 4,4 3,-8 9,5 10,-6 5,9 6,-1 4,13 1,3 1,14 1,0-8,14-2,11-8,6-7,12-3,6-5,9-7,4 0,0-8,-4-3,-3-1,-9 1,-11-1,-7 1,-16-3,-9 2,-12-1,-1 2,-11-2,4-1,-2-2,4 0,15-3,0-2,30 3,0-15,26 7,16-2,22-3,-94 31</inkml:trace>
</inkml:ink>
</file>

<file path=xl/ink/ink20.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99"/>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419 1554,'41'-29,"-15"14,1-3,12 13,-7-8,9 13,-8 0,8 11,-10 3,-2 8,-8 8,0 8,-8 4,0 6,-7 2,-1 7,-1-1,2 5,-2 0,2-5,2-6,-1-6,3-9,2-7,1-16,6-12,0-13,3-15,-1-11,2-6,-3-12,-1-11,-4-5,-8-6,0-8,-7-6,0 0,-6 0,1 1,0 2,-1 8,6 7,0 13,0 6,8 12,-1 8,6 8,6 8,7 3,10 6,6 3,13 4,13 1,15 3,23-5,18 5,20-3,19 3,16-3,10 3,6-5,-4 5,-13 0,-14 0,-18 6,-26-3,-13 15,-32-9,-26 6,-26-4,-17-1,-6-10</inkml:trace>
  <inkml:trace contextRef="#ctx0" brushRef="#br0" timeOffset="1">3344 714,'41'-16,"-9"12,5-1,15 5,0-4,19 8,-3-4,18 3,5-3,13 6,10-6,19 3,7-6,15 3,10-7,13-1,5-2,2-1,-1-2,-6 1,-5 1,-6-1,-9 12,-23-4,-18 4,-19 9,-98-9</inkml:trace>
  <inkml:trace contextRef="#ctx0" brushRef="#br0" timeOffset="2">6495 636,'0'0,"0"0,8 18,0 11,-8 4,0 13,8 6,-2 8,-6-3,6 2,-6-59</inkml:trace>
  <inkml:trace contextRef="#ctx0" brushRef="#br0" timeOffset="3">42 664,'9'-10,"14"-2,-5-2,13 11,-9-9,18 12,-5-8,8 11,-10 0,4 8,-12 6,-4 8,-15 3,-6 3,-10 3,-5 2,-6-6,-4 2,1-6,5-6,8-4,1-6,10-10,10 11,6-8,7 2,5 0,5 3,8 0,-1 3,1 7,-4 0,-6 1,-9 2,-10 0,-12 1,-20-3,-11-2,-13-6,-11-2,-9-1,-5-5,1 0,-5-3,21 0,1 0,16 6,13-6,22 0</inkml:trace>
  <inkml:trace contextRef="#ctx0" brushRef="#br0" timeOffset="4">2190 1462,'0'-37,"0"37,0 0,-5 33,-7-2,8 19,-8 5,6 15,-4 0,5 5,5-5,0-12,6 1,4-20,-1-15,2-10,-11-14</inkml:trace>
  <inkml:trace contextRef="#ctx0" brushRef="#br0" timeOffset="5">1857 1476,'-35'-22,"22"16,3-3,22 9,1-16,24 11,4-14,24 7,5-11,21 6,3-2,14 4,2 3,-3 2,0 10,-20-7,-4 11,-18 1,-21 1,-44-6</inkml:trace>
  <inkml:trace contextRef="#ctx0" brushRef="#br0" timeOffset="6">1688 1774,'-42'38,"62"-30,20-12,18-5,18-3,17 1,6-7,9 7,-3-4,-6-2,-2 5,-97 12</inkml:trace>
  <inkml:trace contextRef="#ctx0" brushRef="#br0" timeOffset="7">2911 1748,'11'-39,"-11"25,-5-7,5 9,-17-6,5 7,-16 4,1 11,-11 1,-4 15,-5 2,3 8,5 2,7 0,12-6,12-8,16-6,16-12,13-6,8-3,3-1,-2 4,-4 6,-8 5,-4 7,-7 5,-10 5,1-2,-5-1,0-3,7-5,-2-11,10 2,-6-5,5-9,6-3,-29 15</inkml:trace>
  <inkml:trace contextRef="#ctx0" brushRef="#br0" timeOffset="8">3514 1201,'-5'-52,"-15"45,-2 16,6 23,-14 16,6 14,-5 11,6 10,-2 6,5-3,6-3,3-15,11-9,-5-17,12-11,-2-20,7-11,0-10,0-9,1-5,3-7,-1 6,-4-1,3 11,-8 1,7 14,-13 0,15 22,-15-5,12 11,-7-1,8 1,0-3,7-6,6-2,1-13,18 0,0-12,6-10,4-7,-55 25</inkml:trace>
  <inkml:trace contextRef="#ctx0" brushRef="#br0" timeOffset="9">4363 1170,'4'-42,"-16"37,-11 13,4 17,-12 6,4 20,-8 8,3 13,1 4,5 4,2 0,3-4,11 0,-4-22,14-6,4-13,-4-12,0-23</inkml:trace>
  <inkml:trace contextRef="#ctx0" brushRef="#br0" timeOffset="10">4042 1813,'-57'-44,"26"27,-2 0,14 12,-9 1,28 4,-17 14,22-1,7-4,13 2,8-1,9-1,6-4,3-5,9 0,-10-6,12 6,-10-16,6 11,-15-13,7 11,-15-11,4 9,-11-4,-7 3,-5 2,-16 8,17-8,-17 8,0 0,0-13,0 13,0 0,-15 0,1-7,14 7,-32 7,20 4,-8 1,4 7,-2 1,2 6,2 0,5 1,9-4,-4 0,9-9,-5-14,25 11,-6-16,6-3,-3-14,4 4,-6-6,2-1,-9 0,-4 0,-4 5,-5 1,0 8,0 11,-10-10,10 10,0 13,6 3,8 4,6 4,2 2,6 1,6-2,4-1,4 0,3-8,-2-4,0 0,-3-5,0-7,-9 0,-2-6,-6-4,-10-5,0-1,-7-9,0 2,-6-7,8 7,-8-3,4 2,2 5,1 1,3 4,0 3,14 6,-9-10,23 9,3-1,10 2,-51 5</inkml:trace>
</inkml:ink>
</file>

<file path=xl/ink/ink21.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510"/>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0 253,'48'-9,"-18"5,-2 4,1-4,14 4,-2 0,16 0,-1 0,11 3,5-3,13 0,3 0,9 3,4 1,-7-4,5 0,4 11,-9-7,3 1,-97-5</inkml:trace>
  <inkml:trace contextRef="#ctx0" brushRef="#br0" timeOffset="1">1809 14,'11'-9,"-11"9,0 0,13-6,-13 6,16 0,-16 0,31 0,-13 0,10 7,0-1,3 1,0 1,-1 3,-3-5,-4 3,-6 3,-9 1,-8 1,-13 3,-10 1,-8 5,-8-1,-8 2,-7-5,-1 3,-1-1,0-6,6 1,0-5,13 2,-2-10,17 1,7-4,15 0,0 0</inkml:trace>
  <inkml:trace contextRef="#ctx0" brushRef="#br0" timeOffset="2">1652 58,'3'-17,"-3"17,0 0,0 0,0 0,-7 19,7 9,-11 2,4 8,-4 7,-3-4,7 10,-2-2,1-11,8-5,0-33</inkml:trace>
</inkml:ink>
</file>

<file path=xl/ink/ink22.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513"/>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0 2016,'72'-56,"-28"29,3 3,0-1,12 13,-7 5,5 12,-10 6,-4 11,-19 7,-8 10,-16 5,-18 5,-8 3,-10-3,-2-1,-1-4,7-6,8-5,12-4,12-6,6-4,16-1,8 0,11 1,11 2,3 1,10 3,2 2,0 2,-2-1,-10 3,-10 2,-14 0,-19 4,-19-1,-21 0,-24 1,-10 3,-22-6,-1-2,-11-9,4-8,1-12,9-6,13-8,17-11,21 5,13-7,18-6,15-3,-15 33</inkml:trace>
  <inkml:trace contextRef="#ctx0" brushRef="#br0" timeOffset="1">616 3989,'-19'0,"3"6,-6 11,-11-5,15 16,-17-4,15 13,-8-8,16 4,3-2,9 0,9-1,10-4,5-6,9-4,5-3,8-3,4 0,2-3,1 1,-1 1,-3 3,-8 1,-5 3,-10 4,-12 2,-14 0,-6 2,-15 1,-13 2,-11-1,-3-2,-11-5,2-2,-3-10,16 1,-7-15,14-8,13-10,5-8,19 33</inkml:trace>
  <inkml:trace contextRef="#ctx0" brushRef="#br0" timeOffset="2">631 3983,'-6'-20,"6"11,0 9,0-19,21 14,0-11,15 9,4-5,8 5,8 2,6-2,18 7,-8-14,21 7,11-7,17-3,-121 17</inkml:trace>
</inkml:ink>
</file>

<file path=xl/ink/ink23.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516"/>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0-3648,'88'-10,"-34"10,8 0,5 0,12 4,6 0,9 7,13 1,2 0,8 5,-1-8,7 4,0 0,-11-10,-2 0,-110-3</inkml:trace>
  <inkml:trace contextRef="#ctx0" brushRef="#br0" timeOffset="1">1586-3728,'85'-17,"-30"12,9 5,2-7,9 14,-8-1,0 6,-16 7,-14 1,-8 8,-29-6,0 12,-31-3,-11-1,-4 2,46-32</inkml:trace>
  <inkml:trace contextRef="#ctx0" brushRef="#br0" timeOffset="2">1686-3587,'35'-27,"-16"27,1 12,-11 1,8 19,-14 3,2 4,2 6,-7-4,0-8,4-3,5-12,-9-18</inkml:trace>
</inkml:ink>
</file>

<file path=xl/ink/ink24.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519"/>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486 343,'14'-12,"-7"0,12 8,-4-7,9 11,-1 0,9 14,-6 9,1 8,-3 14,-2 7,0 9,-7 0,3 5,-7-11,3-5,-3-16,6-13,-17-21,24 0,-17-21,0-10,-2-8,-5-10,-7 1,-5-8,-3 3,-6-7,1 9,-9-9,7 9,-4-1,6 8,1 3,8 9,4-1,10 8,7 2,13 5,5-1,15 1,13-3,10 3,14-3,13 5,15-2,16 6,9 3,17 6,7 3,20 0,3 8,8 2,2 0,-1 4,-6-2,-6-4,-12 1,-20-5,-11 4,-32-8,-18 0,-25-7,-25-1,-34 8</inkml:trace>
  <inkml:trace contextRef="#ctx0" brushRef="#br0" timeOffset="1">158-395,'-7'11,"-8"-2,-5 4,8 9,-7-3,3 8,3-3,6 4,3-9,14 3,-2-8,13-1,1-2,9 0,-1-1,0-2,0 3,-6 0,-4 4,-9 2,-6 2,-10-5,-3 3,-16-1,-4 0,-4-4,0-2,-8-10,12 6,-9-10,6-7,9-3,22 14</inkml:trace>
  <inkml:trace contextRef="#ctx0" brushRef="#br0" timeOffset="2">111-394,'54'-36,"-25"21,10 4,-3 1,12 2,-1 8,1-4,1 4,9 9,-5-3,-53-6</inkml:trace>
  <inkml:trace contextRef="#ctx0" brushRef="#br0" timeOffset="3">197 226,'25'6,"-7"-6,5 0,9 0,9-7,9 2,3-6,5 2,-58 9</inkml:trace>
  <inkml:trace contextRef="#ctx0" brushRef="#br0" timeOffset="4">2105 256,'22'-22,"-22"22,0 0,0 0,9 31,-18 3,9 19,-11 6,5 9,1 7,-3-5,3-1,5-8,0-14,0-47</inkml:trace>
  <inkml:trace contextRef="#ctx0" brushRef="#br0" timeOffset="5">1894 313,'-19'-64,"14"43,-1 5,0-3,18 14,2-5,20 10,-2-10,18 10,10-9,12 9,10-6,4-2,6 5,-11-9,0 2,-9-1,-18 2,-54 9</inkml:trace>
  <inkml:trace contextRef="#ctx0" brushRef="#br0" timeOffset="6">1979 434,'-18'8,"18"-8,27 8,10-8,8 0,13-3,14 3,1 0,4-3,8 3,-8-4,-77 4</inkml:trace>
  <inkml:trace contextRef="#ctx0" brushRef="#br0" timeOffset="7">2868 496,'0'-24,"0"10,-4 2,-8-10,7 14,-15-4,6 12,-15 6,0 7,-5 12,0 6,4 3,1 1,8-2,7-5,14-12,0-16,31 6,-2-17,0-2,7-2,-2 4,-4 6,-4 5,-6 11,-2 3,-5 7,-2 0,4 0,-1-4,0-7,10 0,-9-15,7-4,6-5,1-6,-29 20</inkml:trace>
  <inkml:trace contextRef="#ctx0" brushRef="#br0" timeOffset="8">3515 93,'-13'-18,"-14"13,11 16,7 13,-6 9,3 11,5 10,-6 3,3 8,-3-3,7 2,3-3,-8-11,11-50</inkml:trace>
  <inkml:trace contextRef="#ctx0" brushRef="#br0" timeOffset="9">3361 651,'19'-56,"-1"28,-8 1,12 10,-12 1,8 16,-18 0,23 13,-15 5,5 3,-5 3,5 0,5-1,1-5,13 0,-6-11,7-7,5-8,-38 8</inkml:trace>
  <inkml:trace contextRef="#ctx0" brushRef="#br0" timeOffset="10">4170 146,'12'-64,"-7"42,-5 11,-13 1,13 20,-14 5,10 21,-13 7,3 12,-7 7,3 8,0 3,2-6,6 1,-3-18,13-7,0-8,7-14,-7-21</inkml:trace>
  <inkml:trace contextRef="#ctx0" brushRef="#br0" timeOffset="11">4051 568,'-26'-50,"16"29,0 3,-3-1,13 19,17-14,2 14,4 0,8-2,9 2,0-4,14 8,-9-14,15 7,-5-7,4-1,-59 11</inkml:trace>
  <inkml:trace contextRef="#ctx0" brushRef="#br0" timeOffset="12">4728 329,'-37'6,"14"8,1 10,-11 4,8 11,-6 1,8 5,2-2,9 0,6-7,6-10,10-8,4-15,10-6,0-13,5-5,-5-8,3-1,-10-7,-4 1,-4 1,-9-4,-5 10,-3-2,2 9,-6-1,12 11,-6-2,6 14,14-3,3 8,6 6,5 1,5 3,5 7,4 2,1 3,2 1,1 4,-2-2,-3 0,-3-4,-6-3,0-5,-5-9,-9-3,-2-9,-5-6,-4-8,-7-4,6-3,-6-3,9 0,-2-4,6 3,6-1,8 1,13 1,7-4,25 4,11-7,21-3,16-10,-120 47</inkml:trace>
  <inkml:trace contextRef="#ctx0" brushRef="#br0" timeOffset="13">3106-294,'0'0,"0"0,0 0,-13 0,13 0,0 0,0 0,14 5,-14-5,25 6,-10-2,2-4,6 8,3-8,6 8,4-8,11 6,-3-6,11 3,5-3,9-3,0 0,11-1,5 0,11 4,3-4,10 4,0 0,9 0,3 0,3 0,2 6,2-1,-2 0,3 2,-4 3,0 0,-3 0,-2-2,-4 0,-10-8,-1 0,-1 0,-8-9,-96 9</inkml:trace>
</inkml:ink>
</file>

<file path=xl/ink/ink3.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390"/>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12231 1450,'-5'10,"23"-6,12-4,9 0,30 8,8-8,27 14,10-9,25 5,19-2,23 4,13-3,24 2,12-6,20 0,13-5,10 4,6-4,7 0,3-3,-7-3,-5 6,-17-11,-4 3,-26 0,-20 0,-24-2,-186 10</inkml:trace>
  <inkml:trace contextRef="#ctx0" brushRef="#br0" timeOffset="1">858 313,'-45'11,"16"20,-13 10,5 19,-20 6,5 15,-10 3,8 6,-1-6,10-11,9-7,9-18,16-9,-1-24,12-15,12-10,-2-20,-10 30</inkml:trace>
  <inkml:trace contextRef="#ctx0" brushRef="#br0" timeOffset="2">230 503,'-82'-73,"45"51,8 1,16 17,6-7,31 11,8-8,35 3,13-10,21 2,18-5,17-4,6-3,-1-3,4 6,-15-3,-18 3,-16 3,-96 19</inkml:trace>
  <inkml:trace contextRef="#ctx0" brushRef="#br0" timeOffset="3">2 720,'-2'37,"49"-37,31-15,16-6,24-2,14-1,5-6,7 12,-16-3,-12 5,-12 7,-104 9</inkml:trace>
  <inkml:trace contextRef="#ctx0" brushRef="#br0" timeOffset="4">1365 791,'20'-33,"-10"11,-2 1,-16-7,8 8,-19-5,5 11,-19 1,1 18,-18 8,2 18,-10 5,6 13,0 1,9 2,9-7,12-6,14-13,14-9,15-11,3-6,8 0,3-3,-2 3,0 3,-4 5,1 1,-4 1,2 0,-2-4,0-6,9 0,0-6,2-4,-3-3,2 5,-2-4,-1 9,-9-4,3 7,-4 3,-4 3,-19-6</inkml:trace>
  <inkml:trace contextRef="#ctx0" brushRef="#br0" timeOffset="5">2361 76,'45'-52,"-45"52,9 32,-24 5,2 23,-17 7,4 12,-9 7,-1 3,-4-4,-2-6,1-7,4-10,2-11,2-13,6-15,7-12,5-11,15 0,-11-19,18 3,1-5,7 7,1 2,6 7,-5 5,6 8,-3 4,4 7,-3 1,3 3,0-2,7-6,3-1,1-14,11 5,-3-18,10-4,0-8,8-3,-61 28</inkml:trace>
  <inkml:trace contextRef="#ctx0" brushRef="#br0" timeOffset="6">3250 259,'25'-55,"-25"36,0 6,0 13,-11 20,3 11,-12 9,2 16,-10 8,0 15,-7 0,2 3,-1-3,0-4,9-12,-2-14,16-6,-8-21,19 0,0-22,0 0,0 0,-4-23,4 2,-4-4,4 7,-14-10,14 11,-22-6,22 23,-10-24,10 24,13-13,6 10,3 1,13-1,9 3,0-6,6 6,0-6,8 6,-7-7,11 7,-14-5,2 5,-11-6,-4 6,-7 0,-13 0,-15 0,0 0,-7 12,-14-9,3 7,-5-2,-1 4,1 1,4 1,5 1,3-2,5-3,6-10,0 0,0 0,14-4,-3-10,5-4,0-1,3-3,3 1,-3 1,2 5,-1 3,1 8,1 4,1 10,-2 2,3 6,1 4,1-1,-3 3,1-3,-6 0,-3-3,0-5,-15-13,16 11,-16-11,0 0,12-10,-12-6,7-5,-3-2,9 0,-4-5,5 0,5 2,5 1,6 4,3 3,4 1,2-1,8 10,-6-1,14-2,-3 1,12 2,-64 8</inkml:trace>
  <inkml:trace contextRef="#ctx0" brushRef="#br0" timeOffset="7">4942 992,'0'9,"0"-9,16 3,-16-14,20 2,-9-11,16-2,-5-11,13-2,1-10,6-4,2-3,3 3,-4 3,-4 5,-5 9,-11 9,-8 12,-15 11,3 22,-10 9,-8 9,-1 10,-5 5,1 5,4 4,-1-8,17 1,-8-16,8-12,8-12,-8-17,0 0</inkml:trace>
  <inkml:trace contextRef="#ctx0" brushRef="#br0" timeOffset="8">5613 388,'0'-43,"-3"31,3 12,0 0,8 11,-1 0,8 3,5 9,0 1,-20-24</inkml:trace>
  <inkml:trace contextRef="#ctx0" brushRef="#br0" timeOffset="9">6019 552,'-60'8,"26"5,5 6,-8-1,18 10,-2-3,12 4,9-4,9 2,5-1,3 0,0-1,2 1,-5-1,-3-2,-11 2,-11-1,-5 0,-9-5,1-4,-2-7,6-8,1-14,19-11,9-13,16-12,10-14,13-9,6-4,8-4,8 7,0 7,1 7,-1 14,-5 16,-9 19,-8 23,-17 17,-7 17,-24 16,0 11,-20 8,-2 1,2 0,-6-12,14-6,-7-19,19-3,-6-23,14-1,-8-18,0 0,12-21,-12 4,-6 1,-12-9,11 12,-18-7,25 20,-30-23,30 23,0 0,6-8,12 4,14-4,15 2,-1-9,24-2,5-6,11-4,-86 27</inkml:trace>
  <inkml:trace contextRef="#ctx0" brushRef="#br0" timeOffset="10">7469 967,'-5'10,"-12"1,17-11,0 0,0 9,0-9,16-13,-6-3,6-3,5-4,7-4,1-2,3-4,4 1,-5 3,0 3,-1 7,-10 8,1 11,-10 4,-2 13,-9 7,0 6,0 8,-5 2,0-4,5-2,0-6,0-7,14-7,1-14,13 0,3-18,9 0,0-9,1 4,0-2,0 4,-9 1,-6 6,-5 7,-8 4,-13 3,0 0,12 21,-17-7,5 5,-7-6,7 4,0-7,0-10,17 6,3-11,1-3,6-4,0 1,-3 3,-2 5,-3 6,-19-3,15 16,-15-2,0 2,0-3,0 1,0-3,0-11,19 11,-6-11,3 3,0-3,7-3,-7-6,11 4,-4-3,1-5,-2-2,-22 15</inkml:trace>
  <inkml:trace contextRef="#ctx0" brushRef="#br0" timeOffset="11">8952 496,'69'-115,"-49"71,-7 12,-17 6,4 26,-22 11,4 24,-9 18,-2 17,-6 6,2 10,4 1,0-3,12-6,-2-22,15-10,-1-17,9-15,-4-14,0 0,6-22,-10-2,4 3,-12-4,7 6,-9-1,8 8,-5-3,11 15,0 0,0 0,23 14,-2-4,5-1,4 1,9 0,-7-10,8-4,-6-4,-3-7,-7-7,-24 22</inkml:trace>
  <inkml:trace contextRef="#ctx0" brushRef="#br0" timeOffset="12">8722 490,'-69'5,"52"3,17-8,5 10,30-5,3-9,17 4,12-6,13 0,6-5,-86 11</inkml:trace>
  <inkml:trace contextRef="#ctx0" brushRef="#br0" timeOffset="13">9942 920,'36'10,"-14"-10,3-7,1-8,9 0,-9-8,11-4,-2-4,-5-2,0-4,-6 3,-8 3,-5 5,-11 2,-9 11,-16 3,1 10,-16 10,-1 12,-12 5,0 8,-2 9,9 5,5 1,8 2,15-3,14-4,12-6,16-8,11-8,4-12,8-4,-1-13,6-2,-7-9,2-1,-10-4,-2 2,-8 5,-8 2,-2 7,-17 6,12 0,-12 0,0 22,-8-10,8 2,0-3,0-11,11 14,3-14,6-8,4-4,8 1,-1-8,7 4,-9 0,2 4,-11 2,3 6,-9 3,-14 0,18 4,-18-4,8 10,-8-10,0 0,0 0,14 13,-14-13,14 2,-2-2,3 0,1 4,4 0,-3 0,2 2,2 2,0-1,-2 1,1-1,1-2,-2-5,6 2,-1-4,-6-8,2 0,-20 10</inkml:trace>
  <inkml:trace contextRef="#ctx0" brushRef="#br0" timeOffset="14">10846 697,'-60'-34,"40"23,10-1,10 12,19 0,10-3,9 3,5-4,-43 4</inkml:trace>
  <inkml:trace contextRef="#ctx0" brushRef="#br0" timeOffset="15">11412 900,'33'-7,"-11"-1,1-4,1-11,4 3,-4-7,6 2,-7-3,-3 3,-4 3,-9 2,-7 3,-10 7,-11 7,-6 11,-12 4,1 11,-10 3,9 10,-1 1,9 5,4-4,15 0,8-8,10-2,12-4,9-7,10-4,4-13,9 0,-1-6,9-2,-3-6,-4 1,-3-2,-5-1,-4 3,-11-4,-6 5,-11-5,1 7,-12-7,0 6,0-5,0 3,0-2,7-2,14 2,0-5,16 6,0-10,16 8,12 0,11 2,-76 14</inkml:trace>
  <inkml:trace contextRef="#ctx0" brushRef="#br0" timeOffset="16">13607 793,'0'-84,"0"36,5 1,0 4,-16 4,4 12,-15 8,1 19,-6 11,-2 18,-2 18,3 17,2 11,5 12,9 14,-3-1,10 7,5-3,0-9,0-95</inkml:trace>
  <inkml:trace contextRef="#ctx0" brushRef="#br0" timeOffset="17">14276 762,'-27'-43,"8"20,-4-4,3 15,-18-3,6 15,-12 2,-2 16,-7 3,2 10,0 9,4 7,6-1,9 0,12-2,12-4,16-6,9-9,14-11,6-14,12-3,2-16,7-5,-4-9,6-1,-11-5,-4 4,-10 3,-10 0,-7 10,-18 1,0 21,-12-12,-4 22,-9 5,4 9,-2 6,6 2,2 2,8-2,10-5,8-6,12-8,4-13,11 0,2-15,8-1,-3-9,2 3,-6-3,-2 2,-8 3,-11 7,-6 7,-14 6,0 0,0 14,-10 3,-1 0,2 2,2-5,7 0,0-14,16 7,-1-10,8-6,-3-2,4 1,-4-1,-4 1,1 5,-17 5,17-5,-17 5,0 0,0 0,15 6,-15-6,18-5,-6 5,2-3,2 3,-1 0,-1 6,-4 2,-3 5,-3 2,-4 3,5 1,-5-2,9 1,-9-18,22 15,-22-15,26-11,-9 6,4-9,-21 14</inkml:trace>
  <inkml:trace contextRef="#ctx0" brushRef="#br0" timeOffset="18">15668 564,'-66'-7,"34"2,4-7,17 8,-7-7,18 11,5-17,15 12,3-4,14 3,1-1,9 7,2 0,-1 4,-5 7,-10 2,-13 10,-13 5,-16 6,-14 7,-16 2,-11 4,-7 7,-1 1,-3-1,11-5,5-3,13-1,16-8,10-8,21-4,5-22,19-6,8-8,10-8,-57 19</inkml:trace>
  <inkml:trace contextRef="#ctx0" brushRef="#br0" timeOffset="19">15387 754,'-34'12,"34"-12,9 19,6-14,23 8,7-5,8-3,10-2,5-8,15 5,-6-14,13 3,-3-6,1 1,-88 16</inkml:trace>
  <inkml:trace contextRef="#ctx0" brushRef="#br0" timeOffset="20">16158 855,'63'-25,"-31"6,1-4,9 3,-4-5,4 1,-8-6,1 3,-5-5,-4 8,-9 0,-4 7,-13 1,0 16,-33-13,6 19,-11 6,-2 5,-12 4,2 11,-7 1,8 5,-3 1,14 7,2-1,16-2,12-3,14-5,13-6,12-6,11-5,3-13,16-5,-5-12,3-1,-6-9,1-1,-10 0,-5 0,-8 6,-14 0,-4 8,-13 9,0 0,0 0,-17 15,4 1,3 5,-3 0,8 1,5-4,4-2,11-8,3-8,11 0,1-3,6-3,-2 0,-3 6,-1 0,-6 7,-2 5,-4 1,3 5,1-2,7-4,11 0,-4-12,14-4,0-5,0-6,-50 15</inkml:trace>
  <inkml:trace contextRef="#ctx0" brushRef="#br0" timeOffset="21">19014 320,'47'-93,"-47"49,-24 4,0 14,-32 1,1 17,-22 2,2 17,-9 3,7 17,-1 3,14 10,11 5,19 9,18 1,16 7,20-3,15 1,13 1,10-4,1-6,-2-6,-3-7,-11-7,-16-6,-11-3,-28-6,-16-2,-18-1,-18-6,-9 1,-10-2,-4-4,2-6,5 0,12 0,16-7,10-7,31 3,2-16,29-3,21-4,18-7,-59 41</inkml:trace>
  <inkml:trace contextRef="#ctx0" brushRef="#br0" timeOffset="22">19555 14,'55'-15,"-65"39,-23 19,-31 12,3 28,-17 9,8 9,-6 5,8-1,13-4,3-14,16-12,14-17,12-20,10-38</inkml:trace>
  <inkml:trace contextRef="#ctx0" brushRef="#br0" timeOffset="23">18871 759,'-41'0,"41"0,-12-11,29 15,-2-10,21 6,2-10,15 5,0-3,6 3,-7 5,-8 5,-13 9,-7 6,-11 6,-13 4,0-1,-11 1,5-9,6-7,0-14,19 0,9-9,3-2,5-4,2 2,-5 2,-6 11,-7 5,-8 9,-5 5,-2 1,-1 3,8 0,15-4,9-9,21-1,-3-9,20-8,3-7,-1-5,-76 20</inkml:trace>
  <inkml:trace contextRef="#ctx0" brushRef="#br0" timeOffset="24">20350 490,'78'-137,"-52"71,-1 14,-18 0,8 23,-27 5,12 24,-43 16,16 27,-17 17,6 23,-8 21,2 17,-2 10,4 7,4 2,3-10,5-3,-3-29,9-7,5-18,3-22,16-51</inkml:trace>
  <inkml:trace contextRef="#ctx0" brushRef="#br0" timeOffset="25">19855 1133,'27'-12,"-4"12,5-4,21 13,-4-9,19 8,-3-8,13 0,-3-10,6-2,-5-6,1-1,-8-7,-2-2,-11-3,-13-1,-9 4,-13-1,-17 5,-7 2,-15 6,-8 9,-13 10,2 12,-5 9,9 13,2 9,15 9,9 1,22-2,19-4,8-16,29-9,14-14,8-15,-89 4</inkml:trace>
</inkml:ink>
</file>

<file path=xl/ink/ink4.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16"/>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3121 375,'-7'-29,"7"29,-6-15,6 15,0 18,0 5,-5 5,5 17,0 7,6 11,-2 4,5 3,3-1,4-6,2-10,6-13,-1-12,5-14,2-14,0-12,1-11,-7-7,1-5,-6-4,-3-1,-9-3,-7 1,0 5,-4 3,1 9,-5 3,8 10,0 12,0 0,10 15,6 2,6 1,7-1,8-3,4-7,8-7,3-16,4-3,0-9,-1 0,-7-6,-7 1,-6-1,-13 3,-11 7,-11 7,-13 3,-9 8,-5 10,-8 11,-2 5,1 12,6 6,3 3,11 6,9-1,14-1,10-5,11-5,6-3,9-10,8-4,-2-8,2-7,-2-3,-5-7,-8-1,-6-4,-12-1,-6-3,-12 0,-5-2,-8 0,-10-7,2 1,-2-1,5-2,5 1,8-3,9 1,11-5,19 8,6-7,24 13,-2-4,14 4,4 8,5 11,-85 0</inkml:trace>
  <inkml:trace contextRef="#ctx0" brushRef="#br0" timeOffset="1">4922 251,'32'-97,"-17"52,1 10,-10 0,9 17,-15-3,0 21,0 0,-15 9,-3 18,-2 14,-4 13,-2 10,-2 13,5 4,2 3,7 0,4-6,10-12,15-13,4-11,7-19,6-10,4-13,5-13,2-7,-6-7,-5-5,-4-1,-9 1,-6 5,-13-1,-10 10,-12 0,-6 6,-5 10,-3 4,-5 5,7 5,7 1,6 0,12-1,9 1,0-13,33 4,0-9,7-11,9 6,-3-15,15 6,-6-1,-2 3,-4 2,-49 15</inkml:trace>
  <inkml:trace contextRef="#ctx0" brushRef="#br0" timeOffset="2">5426 517,'13'-31,"-5"17,1 1,-9-2,13 7,-13-3,0 11,0 0,18 0,-18 0,0 24,-8-2,3 11,-7-1,6 10,-2-1,3 2,1-6,4-3,6-7,5-10,8-5,6-12,8-8,1-7,7-7,-2-2,-2-8,-1 2,-7 0,-6 7,-8 0,-5 7,-10 6,0 10,0 0,-10 21,3-3,-3 6,3 4,1-1,6-1,0-3,0-6,12-5,3-3,-1-9,7 0,-1-10,3 3,-3-2,-1 1,-4-2,-2 3,-13 7,21-12,-21 12,0 0,0 0,12-8,-12 8,0 0,8 18,-3-8,1 5,6-2,-3 4,3-3,4 2,2-3,2-6,4-7,-3 4,7-10,-2-3,4-2,-5-4,4 1,-4 0,-2 1,-3 0,-5 5,2 2,-17 6,23 0,-23 0,12 15,-9-1,6 7,-2-3,5 5,1 0,6-4,9-1,1-10,12-1,-6-17,14 1,0-9,7-2,-56 20</inkml:trace>
  <inkml:trace contextRef="#ctx0" brushRef="#br0" timeOffset="3">7180 613,'26'-22,"-26"13,0 9,-39-11,17 11,-19-4,6 9,-11 1,6 10,-5 7,8 10,2 2,11 8,6 2,11 1,12-8,9-5,7-11,8-10,4-12,5-15,4-10,0-11,-2-7,2-12,-4-4,-5-4,-2-4,-9 0,-3-3,-7 4,-12 0,0 10,-7 8,-2 8,-6 12,2 22,-5 11,5 26,1 17,4 18,8 12,0 13,0 7,11-1,1 0,7-10,3-12,3-17,16-7,-6-21,10-15,4-19,4-10,-53 14</inkml:trace>
  <inkml:trace contextRef="#ctx0" brushRef="#br0" timeOffset="4">7666 811,'38'-3,"-24"-8,8-3,5 4,-7-9,9 2,-7-5,4-1,-6-3,3 1,-5 0,-3 1,-3 3,-2 5,-10 0,0 5,0 11,-24-6,6 6,-8 12,-5 2,1 6,-4 3,2 7,1 4,7 2,3 1,11 4,4-5,12-5,8-4,8-6,8-6,4-12,7-6,0-10,3-3,-1-8,-7 2,-4-2,-8 7,-4 4,-20 13,15 0,-15 10,0 9,0 5,0 1,8-1,4-4,12-3,7-8,8-9,8 0,6-7,0 1,0 6,-5 0,-5 12,-6 0,5 11,-8-11,16 6,-3-5,14-5,6-8,-67 0</inkml:trace>
</inkml:ink>
</file>

<file path=xl/ink/ink5.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21"/>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370-1018,'-7'-49,"14"24,3-10,21 11,-10-7,19 10,-6-1,9 11,-1 4,3 11,-2 6,-1 14,-2 8,-7 12,-6 6,-12 10,-15 8,-5 5,-18 3,-12 1,-8-3,-3 4,-4-8,9-6,3-10,12-8,10-9,11-12,14-12,5-13,14 0,-5-20,7 7,0-8,2 3,-5-2,-27 20</inkml:trace>
  <inkml:trace contextRef="#ctx0" brushRef="#br0" timeOffset="1">682-110,'0'13,"0"-13,0 0,0 0,0 0,0 0,0 0,0 0,-9 13,9-13,-8 21,-1-11,9 8,0-18,-16 12,16-12,7-28,-7 28</inkml:trace>
</inkml:ink>
</file>

<file path=xl/ink/ink6.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23"/>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20957 558,'-5'49,"-5"-13,-5 11,-1 10,-10 3,4 12,-7 1,-1-2,5-4,-4-10,13-7,-4-12,5-14,7-12,8-12</inkml:trace>
  <inkml:trace contextRef="#ctx0" brushRef="#br0" timeOffset="1">20663 833,'-5'-100,"5"51,10 4,-1-5,25 13,-1-3,18 7,1 0,7 11,2 9,-4 9,-7 13,-8 11,-13 9,-14 7,-15 10,-9 6,-8-2,-7-2,-1-6,1-8,5-5,6-3,5-8,8-6,8 0,4-4,9 1,3 1,8 3,3 0,4 3,-5 1,-5 3,-7 8,-11-3,-11 2,-17-3,-13 2,-10-3,-9-2,-6-8,2-4,2-6,3-6,11-3,6-6,17 3,2-11,18 3,10 0,10 1,-26 16</inkml:trace>
  <inkml:trace contextRef="#ctx0" brushRef="#br0" timeOffset="2">21406 992,'46'-11,"-14"1,4-8,15 3,-8-15,17 2,-6-10,7-2,-7-2,5-3,-4-4,-5 1,-3-1,-8 5,-8 5,-9 2,-14 6,-8 6,-7 7,-13 11,-7 7,-8 13,-4 9,-6 7,0 7,2 6,1 7,5 3,4-1,7 2,7-2,12-3,7-5,5-1,10-8,5-7,8-4,4-8,6-6,3-3,6-6,-1-7,3-3,-1-9,1 0,0-4,-4-7,-2 3,-3-4,-7 0,-2 0,-4 3,-7 1,-6 1,-6 5,-5 4,-3 4,0 13,-20 0,-1 15,-4 4,2 8,-3 3,1 2,5 0,3 3,4-4,13-3,0-4,11-4,5-5,5-6,9-5,6-7,3-8,2-3,2-5,0-4,-5 0,-1-1,-4 3,-4 3,-4 6,-7 8,0 4,-5 5,-3 11,-2 3,-3 5,0 2,0-2,3-1,0-5,6-5,4-7,8-6,3-7,4-4,4-4,0 1,-4-4,-1 5,-5 3,-6 2,-2 8,-7 0,-12 0,16 14,-9-4,-7-10,14 18,-5-9,-9-9,18 11,-18-11,25 9,-13-4,3 3,-2 2,4 4,-3 2,4-3,4 5,-2-13,5-1,9-8,7-7,2-12,-43 23</inkml:trace>
  <inkml:trace contextRef="#ctx0" brushRef="#br0" timeOffset="3">24168 785,'-7'-26,"-6"17,-2-6,15 15,-35-20,14 16,-10-6,3 15,-10-1,2 10,-5 1,2 8,2 7,5 6,2 2,8 1,4-1,11-4,7-3,6-4,6-9,7-8,7-10,2-5,10-7,-1-13,6-6,0-6,3-6,0-8,-3-4,2-2,-7-5,-1 0,-9 2,-2-3,-8 8,-4 6,-8 8,-6 12,0 13,0 16,-16 10,0 21,-4 12,-6 11,-3 14,-2 3,0 8,6 0,5-3,9-6,11-7,9-8,12-8,9-12,14-13,6-8,11-10,4-8,6-11,3-3,4-9,0-4,-4-4,-4-1,-11 0,-9 0,-11 5,-15-1,-11 6,-13 6,-17 9,-9 6,-7 10,-5 11,-4 11,3 10,6 3,7 9,11-3,11-3,11-3,16-10,13-11,5-12,25-3,0-18,10-6,8-13,6-6,-90 39</inkml:trace>
  <inkml:trace contextRef="#ctx0" brushRef="#br0" timeOffset="4">25590 695,'16'-16,"-5"37,-15 4,4 13,-8 5,2 10,-4 2,2 1,2-9,1-7,5-16,8-11,4-13,7-13,2-3,5-4,-1-5,-1 3,-4 2,-2 10,-18 10,24 0,-18 10,1 8,-7 2,9 6,-2-3,5-4,7 0,-6-15,10 1,3-5,3-7,3-4,-32 11</inkml:trace>
  <inkml:trace contextRef="#ctx0" brushRef="#br0" timeOffset="5">26390 731,'0'0,"13"8,-13 7,-6 7,6 11,-10 8,5 0,-3 2,0-4,-2-7,7-6,3-14,0-12,0 0,10-26,-1 3,-1-8,-2 1,-2-8,-4 4,5 1,-5 1,-5 11,1 1,4 10,0 10,0 0,0 0,27 23,-9-7,10 2,9-2,11-3,8-5,10-5,2-9,8-3,2-7,0-4,-4-5,-7 2,-7-3,-8-1,-9 2,-11 3,-13 2,-10 8,-13 0,-14 5,-7 7,-5 10,-7 5,1 10,0 7,4 5,5 5,10 4,10-1,7-6,5-7,10-6,10-10,6-11,5-8,1-6,4-7,-4-2,-1 1,-2 0,-9 4,1 9,-5 4,-1 12,-3 4,1 5,2 5,-1 0,0-2,3-8,5-2,-8-14,8-12,-2-10,5-5,-30 27</inkml:trace>
  <inkml:trace contextRef="#ctx0" brushRef="#br0" timeOffset="6">27804 645,'-17'-49,"8"31,3 4,11-3,3 0,7-2,18 4,-6-11,17 4,4 2,7 1,-55 19</inkml:trace>
  <inkml:trace contextRef="#ctx0" brushRef="#br0" timeOffset="7">28409 369,'6'-94,"-6"43,6 3,-6-3,7 14,-7-6,0 19,0 3,0 21,0 0,0 16,-5 17,0 17,-2 10,-4 10,-3 10,-4 5,-1 5,-5-2,5-6,-2-10,5-9,0-11,8-14,1-13,7-15,0-10,23-11,-10-9,1-1,-1 1,-1 2,0 5,-12 13,17 7,-10 10,0 9,3 5,5 3,2-1,6-3,8-6,6-2,6-9,7-5,3-8,5 0,8-11,-3-4,-1-5,-1-2,-5-5,-2-1,-7-3,-8-3,-10 2,-9 3,-13 4,-7 6,-16 7,-4 12,-7 3,-5 15,0 5,3 9,7 3,10 2,12-2,8-9,25 0,7-15,27-8,19-13,15-8,-101 18</inkml:trace>
</inkml:ink>
</file>

<file path=xl/ink/ink7.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31"/>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0 508,'22'8,"3"-14,-4 6,-7-3,13 3,-4 0,7 6,-6 1,5 5,-8 0,4 7,-9 3,0 7,-5 4,-5 1,-6 9,0-1,-4 4,-6-1,2 1,-3-8,6-1,-4-10,9-6,-9-10,9-11,0 0,10-10,-3-9,-2-7,8-5,-1-10,5-6,-2-11,7-7,-2-6,5-1,-6-7,1-1,-4 4,-3 2,-3 8,-2 9,-3 8,-2 8,-3 10,0 12,0 6,0 13,0-12,0 12,0 0,0 0,0 0,12 12,-1-5,8 0,1 6,15 1,3 0,16 2,13-3,14 2,10-7,7 0,7-4,-1-4,-1 0,-8-6,-4 3,-17-7,0 1,-11 2,-8 4,-55 3</inkml:trace>
  <inkml:trace contextRef="#ctx0" brushRef="#br0" timeOffset="1">1206 452,'15'-18,"-3"12,6 6,-2-12,8 12,-4 0,4 4,2 5,-4 3,1 5,-3 4,-6 1,-5 5,-4-2,-8 2,-10 1,-5 1,-10 1,-3-3,-6 2,-5-1,3-2,-2 0,7-1,-1-4,6 0,8-3,4 0,10-1,7-4,0 0,0-13,31 20,-10-17,14 0,5-3,11-4,4-3,5-2,2 2,-4-6,11 9,-10-5,-4 0,-6-1,0 3,-49 7</inkml:trace>
</inkml:ink>
</file>

<file path=xl/ink/ink8.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33"/>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0 898,'57'-19,"-22"0,-2-8,16 4,-4-15,11-3,2-6,3-4,1-6,1-2,-4-3,1 0,-10-1,-10 8,-10 6,-8 7,-15 9,-7 15,-17 13,-9 17,-8 17,-9 16,-4 13,-2 13,0 6,6 5,4 2,12-3,8-8,13-11,10-11,13-15,5-15,11-12,6-18,2-8,-2-11,1-4,-9-2,-6 3,-13 0,-12 6,-15 5,-5 8,-13 5,-4 7,1 7,-3 3,14 12,5-5,4 3,7-6,9-14</inkml:trace>
  <inkml:trace contextRef="#ctx0" brushRef="#br0" timeOffset="1">830 555,'38'-25,"-18"12,3 3,3 5,-3-5,3 10,-5-4,6 4,-6 3,2 2,-4 2,-2 1,-7 3,-1 2,-9 1,-6 3,-4 4,-8 2,-2 4,-4 5,0 3,-3-1,6 1,1-3,7-4,7-3,6-5,8-12,11 1,-3-12,4-6,9 1,-4-5,-25 13</inkml:trace>
  <inkml:trace contextRef="#ctx0" brushRef="#br0" timeOffset="2">832 706,'-22'-8,"22"8,18 0,-5-6,15 6,3-3,5 3,2-5,2 5,4 0,-5-5,4 5,-5-5,-1 5,-1-7,-4 1,-1 1,-2-2,-6 3,-6-3,0 7,-17 0,18 0,-18 0,0 16,-13 4,1 6,-3 0,0 6,-1 1,1-1,5-2,6-6,4-6,13-9,1-3,3-6,5 0,-3-3,1 3,-3 0,2 6,-19-6,30 8,-18-4,6-1,3-3,1-3,8-2,-8-9,11 5,-14-9,6 7,-16-7,6 11,-19-9,4 16,-18-17,7 17,-11-10,6 10,-2-9,5 5,13 4,-14-9,14 9,17-15,12 11,1-13,13-1,6-5,17-3,-66 26</inkml:trace>
  <inkml:trace contextRef="#ctx0" brushRef="#br0" timeOffset="3">2286 782,'-42'14,"24"-8,-1-1,-1-2,20-3,-15 11,15-11,0 0,23-11,-5 2,9 0,-27 9</inkml:trace>
  <inkml:trace contextRef="#ctx0" brushRef="#br0" timeOffset="4">3084 830,'-15'8,"22"-21,8 2,0-19,25 7,-1-17,18 2,-5-11,12 6,-2-4,-1 4,-9 3,-6 4,-10 9,-11 6,-7 11,-18 10,7 10,-12 13,-8 14,-9 8,2 11,-9 4,3 11,-6-13,10 3,2-5,9-15,11-41</inkml:trace>
  <inkml:trace contextRef="#ctx0" brushRef="#br0" timeOffset="5">4333 58,'39'-58,"-39"58,-5 11,-16 16,2 24,-23 6,4 20,-13 13,0 14,-9 2,5 8,-4-2,5-6,3-4,-2-9,11-5,-1-12,6-15,8-13,29-48</inkml:trace>
  <inkml:trace contextRef="#ctx0" brushRef="#br0" timeOffset="6">4433 595,'19'-34,"5"19,0 2,0-4,12 13,-8 4,1 10,-5 12,-10 11,-6 14,-8 9,0 11,-10-3,3 4,-6-7,8-4,0-16,5-5,0-19,15-5,-15-12,21-16,-9-7,-4-9,1-8,-9-12,13 0,-13-13,7 0,-7-13,6 6,-6-6,5 11,-5-1,10 8,-3 3,5 11,4 3,7 6,2 6,6 7,3 4,6 6,4 4,11 10,3 8,10 4,8 5,11 7,8-2,9 1,1 1,0-8,0 1,-12-8,-2 6,-21-13,-16 5,-20-2,-34-5</inkml:trace>
  <inkml:trace contextRef="#ctx0" brushRef="#br0" timeOffset="7">5296 658,'0'-12,"0"12,31-9,-17-3,17 12,-3-5,9 8,-9-3,8 4,-6 1,-2 5,-6 0,-7 4,-6-1,-9 4,0 2,-12 1,-1 4,-14 0,-4 6,-5-3,0 7,-5-4,4 1,-1-5,7 0,5-4,6-4,9-3,11-15,-9 17,9-17,26 9,-4-9,19 10,4-7,14 3,5-1,10 1,9 4,1-7,0-3,-6-4,-3-5,-75 9</inkml:trace>
</inkml:ink>
</file>

<file path=xl/ink/ink9.xml><?xml version="1.0" encoding="utf-8"?>
<inkml:ink xmlns:inkml="http://www.w3.org/2003/InkML">
  <inkml:definitions>
    <inkml:context xml:id="ctx0">
      <inkml:inkSource xml:id="inkSrc0">
        <inkml:traceFormat>
          <inkml:channel name="X" type="integer" max="24779" units="in"/>
          <inkml:channel name="Y" type="integer" max="18629" units="in"/>
        </inkml:traceFormat>
        <inkml:channelProperties>
          <inkml:channelProperty channel="X" name="resolution" value="2540.13306" units="1/in"/>
          <inkml:channelProperty channel="Y" name="resolution" value="2540.08716" units="1/in"/>
        </inkml:channelProperties>
      </inkml:inkSource>
      <inkml:timestamp xml:id="ts0" timeString="2017-09-12T15:24:21.441"/>
    </inkml:context>
    <inkml:brush xml:id="br0">
      <inkml:brushProperty name="width" value="0.02032" units="cm"/>
      <inkml:brushProperty name="height" value="0.0381" units="cm"/>
      <inkml:brushProperty name="tip" value="rectangle"/>
      <inkml:brushProperty name="fitToCurve" value="1"/>
    </inkml:brush>
  </inkml:definitions>
  <inkml:trace contextRef="#ctx0" brushRef="#br0">158 0,'20'15,"-13"4,-1 6,-12 2,6 17,-9 7,1 13,-11 6,4 9,-9 6,2 5,-4-5,5 2,2-10,5-5,6-15,12-9,5-14,13-10,9-14,13-10,11-9,-5-15,11 3,4-7,0-5,-65 33</inkml:trace>
  <inkml:trace contextRef="#ctx0" brushRef="#br0" timeOffset="1">736 594,'14'5,"-14"10,0 6,0 16,-8-2,8 8,-10 1,2 2,3-2,-3-15,8-3,0-9,0-17,13 0,-13 0</inkml:trace>
  <inkml:trace contextRef="#ctx0" brushRef="#br0" timeOffset="2">820 570,'-12'-98,"1"55,4 7,-10 6,12 16,1 3,4 11,14-9,-14 9,26-7,-6 7,-20 0</inkml:trace>
  <inkml:trace contextRef="#ctx0" brushRef="#br0" timeOffset="3">1512 561,'13'9,"-13"-9,0 0,0 0,-16 5,4 0,-12-5,3 9,-14-3,1 6,-6 5,2 4,-2 6,5 3,3 3,7 0,12 2,8-4,9-4,9-5,13-9,7-9,7-4,8-12,5-5,-3-10,5-2,-4-7,1-6,-6-2,-2-6,-6 1,-4 0,-5 0,-5 1,-6 1,-11 3,-1 7,-6 7,-9 9,0 10,-5 16,-7 13,1 16,-2 15,-1 14,0 14,-1 3,5 1,6-8,7-8,6-16,16-12,7-20,13-17,3-14,6-11,-5-2,0-1,-6 4,-10-1,-6 14,-18 11,14 6,-14 12,0 12,-7 5,7 7,6-3,1 1,9-7,2-8,15-5,-6-20,22-10,0-7,8-10,-57 27</inkml:trace>
  <inkml:trace contextRef="#ctx0" brushRef="#br0" timeOffset="4">2767 191,'21'-101,"-26"76,5 25,-20 26,-5 15,3 29,-8 10,0 12,-1 7,1 0,9 0,-7-15,13-6,4-15,4-16,7-12,0-35</inkml:trace>
  <inkml:trace contextRef="#ctx0" brushRef="#br0" timeOffset="5">2454 777,'-38'-28,"20"24,18 4,-24 9,33 11,-3-5,16 1,3-4,17 3,10-5,5-10,21-6,14-16,13-3,-105 25</inkml:trace>
</inkm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image" Target="../media/image20.emf"/><Relationship Id="rId4" Type="http://schemas.openxmlformats.org/officeDocument/2006/relationships/oleObject" Target="../embeddings/oleObject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3" Type="http://schemas.openxmlformats.org/officeDocument/2006/relationships/hyperlink" Target="http://de.wikipedia.org/wiki/Celluloseacetat" TargetMode="External"/><Relationship Id="rId18" Type="http://schemas.openxmlformats.org/officeDocument/2006/relationships/hyperlink" Target="http://de.wikipedia.org/wiki/Cyclo-Olefin-Copolymere" TargetMode="External"/><Relationship Id="rId26" Type="http://schemas.openxmlformats.org/officeDocument/2006/relationships/hyperlink" Target="http://de.wikipedia.org/wiki/Kohlenstoffdisulfid" TargetMode="External"/><Relationship Id="rId39" Type="http://schemas.openxmlformats.org/officeDocument/2006/relationships/hyperlink" Target="http://de.wikipedia.org/wiki/Bleisulfid" TargetMode="External"/><Relationship Id="rId21" Type="http://schemas.openxmlformats.org/officeDocument/2006/relationships/hyperlink" Target="http://de.wikipedia.org/wiki/Halit" TargetMode="External"/><Relationship Id="rId34" Type="http://schemas.openxmlformats.org/officeDocument/2006/relationships/hyperlink" Target="http://de.wikipedia.org/wiki/Zinksulfid" TargetMode="External"/><Relationship Id="rId7" Type="http://schemas.openxmlformats.org/officeDocument/2006/relationships/hyperlink" Target="http://de.wikipedia.org/wiki/Linse_(Auge)" TargetMode="External"/><Relationship Id="rId2" Type="http://schemas.openxmlformats.org/officeDocument/2006/relationships/hyperlink" Target="http://de.wikipedia.org/wiki/Luft" TargetMode="External"/><Relationship Id="rId16" Type="http://schemas.openxmlformats.org/officeDocument/2006/relationships/hyperlink" Target="http://de.wikipedia.org/wiki/Kronglas" TargetMode="External"/><Relationship Id="rId20" Type="http://schemas.openxmlformats.org/officeDocument/2006/relationships/hyperlink" Target="http://de.wikipedia.org/wiki/Quarz" TargetMode="External"/><Relationship Id="rId29" Type="http://schemas.openxmlformats.org/officeDocument/2006/relationships/hyperlink" Target="http://de.wikipedia.org/wiki/Brille" TargetMode="External"/><Relationship Id="rId41" Type="http://schemas.openxmlformats.org/officeDocument/2006/relationships/drawing" Target="../drawings/drawing20.xml"/><Relationship Id="rId1" Type="http://schemas.openxmlformats.org/officeDocument/2006/relationships/hyperlink" Target="http://de.wikipedia.org/wiki/Vakuum" TargetMode="External"/><Relationship Id="rId6" Type="http://schemas.openxmlformats.org/officeDocument/2006/relationships/hyperlink" Target="http://de.wikipedia.org/wiki/Wasser" TargetMode="External"/><Relationship Id="rId11" Type="http://schemas.openxmlformats.org/officeDocument/2006/relationships/hyperlink" Target="http://de.wikipedia.org/wiki/Quarzglas" TargetMode="External"/><Relationship Id="rId24" Type="http://schemas.openxmlformats.org/officeDocument/2006/relationships/hyperlink" Target="http://de.wikipedia.org/wiki/Epoxidharz" TargetMode="External"/><Relationship Id="rId32" Type="http://schemas.openxmlformats.org/officeDocument/2006/relationships/hyperlink" Target="http://de.wikipedia.org/wiki/Zirkon" TargetMode="External"/><Relationship Id="rId37" Type="http://schemas.openxmlformats.org/officeDocument/2006/relationships/hyperlink" Target="http://de.wikipedia.org/wiki/Siliciumcarbid" TargetMode="External"/><Relationship Id="rId40" Type="http://schemas.openxmlformats.org/officeDocument/2006/relationships/printerSettings" Target="../printerSettings/printerSettings20.bin"/><Relationship Id="rId5" Type="http://schemas.openxmlformats.org/officeDocument/2006/relationships/hyperlink" Target="http://de.wikipedia.org/wiki/Eis" TargetMode="External"/><Relationship Id="rId15" Type="http://schemas.openxmlformats.org/officeDocument/2006/relationships/hyperlink" Target="http://de.wikipedia.org/wiki/Benzol" TargetMode="External"/><Relationship Id="rId23" Type="http://schemas.openxmlformats.org/officeDocument/2006/relationships/hyperlink" Target="http://de.wikipedia.org/wiki/Polycarbonate" TargetMode="External"/><Relationship Id="rId28" Type="http://schemas.openxmlformats.org/officeDocument/2006/relationships/hyperlink" Target="http://de.wikipedia.org/wiki/Diiodmethan" TargetMode="External"/><Relationship Id="rId36" Type="http://schemas.openxmlformats.org/officeDocument/2006/relationships/hyperlink" Target="http://de.wikipedia.org/wiki/Titandioxid" TargetMode="External"/><Relationship Id="rId10" Type="http://schemas.openxmlformats.org/officeDocument/2006/relationships/hyperlink" Target="http://de.wikipedia.org/wiki/Tetrachlorkohlenstoff" TargetMode="External"/><Relationship Id="rId19" Type="http://schemas.openxmlformats.org/officeDocument/2006/relationships/hyperlink" Target="http://de.wikipedia.org/wiki/Polymethacrylmethylimid" TargetMode="External"/><Relationship Id="rId31" Type="http://schemas.openxmlformats.org/officeDocument/2006/relationships/hyperlink" Target="http://de.wikipedia.org/wiki/Bleikristall" TargetMode="External"/><Relationship Id="rId4" Type="http://schemas.openxmlformats.org/officeDocument/2006/relationships/hyperlink" Target="http://de.wikipedia.org/wiki/Aerogel" TargetMode="External"/><Relationship Id="rId9" Type="http://schemas.openxmlformats.org/officeDocument/2006/relationships/hyperlink" Target="http://de.wikipedia.org/wiki/Epidermis_(Wirbeltiere)" TargetMode="External"/><Relationship Id="rId14" Type="http://schemas.openxmlformats.org/officeDocument/2006/relationships/hyperlink" Target="http://de.wikipedia.org/wiki/PMMA" TargetMode="External"/><Relationship Id="rId22" Type="http://schemas.openxmlformats.org/officeDocument/2006/relationships/hyperlink" Target="http://de.wikipedia.org/wiki/Polystyrol" TargetMode="External"/><Relationship Id="rId27" Type="http://schemas.openxmlformats.org/officeDocument/2006/relationships/hyperlink" Target="http://de.wikipedia.org/wiki/Brille" TargetMode="External"/><Relationship Id="rId30" Type="http://schemas.openxmlformats.org/officeDocument/2006/relationships/hyperlink" Target="http://de.wikipedia.org/wiki/Glas" TargetMode="External"/><Relationship Id="rId35" Type="http://schemas.openxmlformats.org/officeDocument/2006/relationships/hyperlink" Target="http://de.wikipedia.org/wiki/Diamant" TargetMode="External"/><Relationship Id="rId8" Type="http://schemas.openxmlformats.org/officeDocument/2006/relationships/hyperlink" Target="http://de.wikipedia.org/wiki/Magnesiumfluorid" TargetMode="External"/><Relationship Id="rId3" Type="http://schemas.openxmlformats.org/officeDocument/2006/relationships/hyperlink" Target="http://de.wikipedia.org/wiki/Plasma_(Physik)" TargetMode="External"/><Relationship Id="rId12" Type="http://schemas.openxmlformats.org/officeDocument/2006/relationships/hyperlink" Target="http://de.wikipedia.org/wiki/Glyzerin" TargetMode="External"/><Relationship Id="rId17" Type="http://schemas.openxmlformats.org/officeDocument/2006/relationships/hyperlink" Target="http://de.wikipedia.org/wiki/Deckglas" TargetMode="External"/><Relationship Id="rId25" Type="http://schemas.openxmlformats.org/officeDocument/2006/relationships/hyperlink" Target="http://de.wikipedia.org/wiki/Flintglas" TargetMode="External"/><Relationship Id="rId33" Type="http://schemas.openxmlformats.org/officeDocument/2006/relationships/hyperlink" Target="http://de.wikipedia.org/wiki/Schwefel" TargetMode="External"/><Relationship Id="rId38" Type="http://schemas.openxmlformats.org/officeDocument/2006/relationships/hyperlink" Target="http://de.wikipedia.org/wiki/Titandioxid"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image" Target="../media/image48.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4.xml"/><Relationship Id="rId1" Type="http://schemas.openxmlformats.org/officeDocument/2006/relationships/printerSettings" Target="../printerSettings/printerSettings33.bin"/><Relationship Id="rId4" Type="http://schemas.openxmlformats.org/officeDocument/2006/relationships/comments" Target="../comments1.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8.xml"/><Relationship Id="rId1" Type="http://schemas.openxmlformats.org/officeDocument/2006/relationships/printerSettings" Target="../printerSettings/printerSettings36.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BE6"/>
  </sheetPr>
  <dimension ref="A3:J119"/>
  <sheetViews>
    <sheetView showGridLines="0" workbookViewId="0">
      <selection activeCell="B48" sqref="B48"/>
    </sheetView>
  </sheetViews>
  <sheetFormatPr baseColWidth="10" defaultRowHeight="12.75"/>
  <cols>
    <col min="2" max="2" width="30.140625" style="1600" bestFit="1" customWidth="1"/>
    <col min="3" max="3" width="11.42578125" style="1600"/>
  </cols>
  <sheetData>
    <row r="3" spans="1:4" ht="18">
      <c r="A3" s="1599"/>
      <c r="B3" s="1602" t="s">
        <v>4503</v>
      </c>
      <c r="D3" t="s">
        <v>4614</v>
      </c>
    </row>
    <row r="5" spans="1:4" ht="14.25">
      <c r="B5" s="1601"/>
      <c r="D5" t="s">
        <v>4618</v>
      </c>
    </row>
    <row r="6" spans="1:4" ht="14.25">
      <c r="B6" s="1601" t="s">
        <v>4504</v>
      </c>
      <c r="D6" t="s">
        <v>4619</v>
      </c>
    </row>
    <row r="7" spans="1:4" ht="14.25">
      <c r="B7" s="1601" t="s">
        <v>4505</v>
      </c>
      <c r="D7" t="s">
        <v>4620</v>
      </c>
    </row>
    <row r="8" spans="1:4" ht="14.25">
      <c r="B8" s="1601" t="s">
        <v>128</v>
      </c>
    </row>
    <row r="9" spans="1:4" ht="14.25">
      <c r="B9" s="1601" t="s">
        <v>4506</v>
      </c>
      <c r="D9" t="s">
        <v>4615</v>
      </c>
    </row>
    <row r="10" spans="1:4" ht="14.25">
      <c r="B10" s="1601" t="s">
        <v>4507</v>
      </c>
      <c r="D10" t="s">
        <v>4617</v>
      </c>
    </row>
    <row r="11" spans="1:4" ht="14.25">
      <c r="B11" s="1601" t="s">
        <v>4508</v>
      </c>
      <c r="D11" t="s">
        <v>4616</v>
      </c>
    </row>
    <row r="12" spans="1:4" ht="14.25">
      <c r="B12" s="1601" t="s">
        <v>4509</v>
      </c>
    </row>
    <row r="13" spans="1:4" ht="14.25">
      <c r="B13" s="1601" t="s">
        <v>4510</v>
      </c>
      <c r="D13" t="s">
        <v>4621</v>
      </c>
    </row>
    <row r="14" spans="1:4" ht="14.25">
      <c r="B14" s="1601" t="s">
        <v>1914</v>
      </c>
    </row>
    <row r="15" spans="1:4" ht="14.25">
      <c r="B15" s="1601" t="s">
        <v>4511</v>
      </c>
      <c r="D15" t="s">
        <v>4622</v>
      </c>
    </row>
    <row r="16" spans="1:4" ht="14.25">
      <c r="B16" s="1601" t="s">
        <v>4512</v>
      </c>
      <c r="D16" t="s">
        <v>4623</v>
      </c>
    </row>
    <row r="17" spans="2:4" ht="14.25">
      <c r="B17" s="1601" t="s">
        <v>483</v>
      </c>
      <c r="D17" t="s">
        <v>4624</v>
      </c>
    </row>
    <row r="18" spans="2:4" ht="14.25">
      <c r="B18" s="1601" t="s">
        <v>4513</v>
      </c>
      <c r="D18" t="s">
        <v>4625</v>
      </c>
    </row>
    <row r="19" spans="2:4" ht="14.25">
      <c r="B19" s="1601" t="s">
        <v>4514</v>
      </c>
    </row>
    <row r="20" spans="2:4" ht="15">
      <c r="B20" s="1601" t="s">
        <v>4515</v>
      </c>
      <c r="D20" s="1603" t="s">
        <v>4626</v>
      </c>
    </row>
    <row r="21" spans="2:4" ht="15">
      <c r="B21" s="1601" t="s">
        <v>4516</v>
      </c>
      <c r="D21" s="1603" t="s">
        <v>4627</v>
      </c>
    </row>
    <row r="22" spans="2:4" ht="15">
      <c r="B22" s="1601" t="s">
        <v>4517</v>
      </c>
      <c r="D22" s="1603" t="s">
        <v>4628</v>
      </c>
    </row>
    <row r="23" spans="2:4" ht="15">
      <c r="B23" s="1601" t="s">
        <v>4722</v>
      </c>
      <c r="D23" s="1603" t="s">
        <v>4629</v>
      </c>
    </row>
    <row r="24" spans="2:4" ht="15">
      <c r="B24" s="1601" t="s">
        <v>4518</v>
      </c>
      <c r="D24" s="1603" t="s">
        <v>4630</v>
      </c>
    </row>
    <row r="25" spans="2:4" ht="14.25">
      <c r="B25" s="1601" t="s">
        <v>4519</v>
      </c>
    </row>
    <row r="26" spans="2:4" ht="14.25">
      <c r="B26" s="1601" t="s">
        <v>4520</v>
      </c>
    </row>
    <row r="27" spans="2:4" ht="14.25">
      <c r="B27" s="1601" t="s">
        <v>4521</v>
      </c>
    </row>
    <row r="28" spans="2:4" ht="14.25">
      <c r="B28" s="1601" t="s">
        <v>1870</v>
      </c>
    </row>
    <row r="29" spans="2:4" ht="14.25">
      <c r="B29" s="1601" t="s">
        <v>1154</v>
      </c>
    </row>
    <row r="30" spans="2:4" ht="14.25">
      <c r="B30" s="1601" t="s">
        <v>4522</v>
      </c>
    </row>
    <row r="31" spans="2:4" ht="14.25">
      <c r="B31" s="1601" t="s">
        <v>4523</v>
      </c>
    </row>
    <row r="32" spans="2:4" ht="14.25">
      <c r="B32" s="1601" t="s">
        <v>4524</v>
      </c>
    </row>
    <row r="33" spans="2:4" ht="14.25">
      <c r="B33" s="1601" t="s">
        <v>4525</v>
      </c>
    </row>
    <row r="34" spans="2:4" ht="14.25">
      <c r="B34" s="1601" t="s">
        <v>4526</v>
      </c>
    </row>
    <row r="35" spans="2:4" ht="14.25">
      <c r="B35" s="1601" t="s">
        <v>4527</v>
      </c>
    </row>
    <row r="36" spans="2:4" ht="14.25">
      <c r="B36" s="1601" t="s">
        <v>4528</v>
      </c>
      <c r="D36" s="1600" t="s">
        <v>4611</v>
      </c>
    </row>
    <row r="37" spans="2:4" ht="14.25">
      <c r="B37" s="1601" t="s">
        <v>4529</v>
      </c>
      <c r="D37" s="1600" t="s">
        <v>4612</v>
      </c>
    </row>
    <row r="38" spans="2:4" ht="14.25">
      <c r="B38" s="1601" t="s">
        <v>4530</v>
      </c>
      <c r="D38" s="1600" t="s">
        <v>4613</v>
      </c>
    </row>
    <row r="39" spans="2:4" ht="14.25">
      <c r="B39" s="1601" t="s">
        <v>307</v>
      </c>
    </row>
    <row r="40" spans="2:4" ht="14.25">
      <c r="B40" s="1601" t="s">
        <v>4531</v>
      </c>
    </row>
    <row r="41" spans="2:4" ht="14.25">
      <c r="B41" s="1601" t="s">
        <v>4532</v>
      </c>
    </row>
    <row r="42" spans="2:4" ht="14.25">
      <c r="B42" s="1601" t="s">
        <v>4533</v>
      </c>
    </row>
    <row r="43" spans="2:4" ht="14.25">
      <c r="B43" s="1601" t="s">
        <v>4534</v>
      </c>
    </row>
    <row r="44" spans="2:4" ht="14.25">
      <c r="B44" s="1601" t="s">
        <v>4535</v>
      </c>
    </row>
    <row r="45" spans="2:4" ht="14.25">
      <c r="B45" s="1601" t="s">
        <v>4536</v>
      </c>
    </row>
    <row r="46" spans="2:4" ht="14.25">
      <c r="B46" s="1601" t="s">
        <v>4537</v>
      </c>
    </row>
    <row r="47" spans="2:4" ht="14.25">
      <c r="B47" s="1601" t="s">
        <v>3338</v>
      </c>
    </row>
    <row r="48" spans="2:4" ht="14.25">
      <c r="B48" s="1601" t="s">
        <v>4538</v>
      </c>
    </row>
    <row r="49" spans="2:10" ht="14.25">
      <c r="B49" s="1601" t="s">
        <v>4539</v>
      </c>
    </row>
    <row r="50" spans="2:10" ht="14.25">
      <c r="B50" s="1601" t="s">
        <v>4540</v>
      </c>
    </row>
    <row r="51" spans="2:10" ht="14.25">
      <c r="B51" s="1601" t="s">
        <v>4541</v>
      </c>
    </row>
    <row r="52" spans="2:10" ht="14.25">
      <c r="B52" s="1601" t="s">
        <v>4542</v>
      </c>
      <c r="D52" s="1600" t="s">
        <v>4610</v>
      </c>
    </row>
    <row r="53" spans="2:10" ht="14.25">
      <c r="B53" s="1601" t="s">
        <v>4543</v>
      </c>
      <c r="D53" s="1645" t="s">
        <v>4610</v>
      </c>
      <c r="E53" s="1646"/>
      <c r="F53" s="1646"/>
      <c r="G53" s="1646"/>
      <c r="H53" s="1646"/>
      <c r="I53" s="1646"/>
      <c r="J53" s="1646"/>
    </row>
    <row r="54" spans="2:10" ht="14.25">
      <c r="B54" s="1601" t="s">
        <v>4544</v>
      </c>
      <c r="D54" s="1645" t="s">
        <v>4610</v>
      </c>
      <c r="E54" s="1646"/>
      <c r="F54" s="1646"/>
      <c r="G54" s="1646"/>
      <c r="H54" s="1646"/>
      <c r="I54" s="1646"/>
      <c r="J54" s="1646"/>
    </row>
    <row r="55" spans="2:10" ht="14.25">
      <c r="B55" s="1601" t="s">
        <v>4545</v>
      </c>
      <c r="D55" s="1645" t="s">
        <v>4610</v>
      </c>
      <c r="E55" s="1646"/>
      <c r="F55" s="1646"/>
      <c r="G55" s="1646"/>
      <c r="H55" s="1646"/>
      <c r="I55" s="1646"/>
      <c r="J55" s="1646"/>
    </row>
    <row r="56" spans="2:10" ht="14.25">
      <c r="B56" s="1601" t="s">
        <v>4546</v>
      </c>
      <c r="D56" s="1645" t="s">
        <v>4610</v>
      </c>
      <c r="E56" s="1646"/>
      <c r="F56" s="1646"/>
      <c r="G56" s="1646"/>
      <c r="H56" s="1646"/>
      <c r="I56" s="1646"/>
      <c r="J56" s="1646"/>
    </row>
    <row r="57" spans="2:10" ht="14.25">
      <c r="B57" s="1601" t="s">
        <v>4547</v>
      </c>
      <c r="D57" s="1645" t="s">
        <v>4610</v>
      </c>
      <c r="E57" s="1646"/>
      <c r="F57" s="1646"/>
      <c r="G57" s="1646"/>
      <c r="H57" s="1646"/>
      <c r="I57" s="1646"/>
      <c r="J57" s="1646"/>
    </row>
    <row r="58" spans="2:10" ht="14.25">
      <c r="B58" s="1601" t="s">
        <v>4548</v>
      </c>
      <c r="D58" s="1645" t="s">
        <v>4610</v>
      </c>
      <c r="E58" s="1646"/>
      <c r="F58" s="1646"/>
      <c r="G58" s="1646"/>
      <c r="H58" s="1646"/>
      <c r="I58" s="1646"/>
      <c r="J58" s="1646"/>
    </row>
    <row r="59" spans="2:10" ht="14.25">
      <c r="B59" s="1601" t="s">
        <v>4549</v>
      </c>
      <c r="D59" s="1645" t="s">
        <v>4610</v>
      </c>
      <c r="E59" s="1646"/>
      <c r="F59" s="1646"/>
      <c r="G59" s="1646"/>
      <c r="H59" s="1646"/>
      <c r="I59" s="1646"/>
      <c r="J59" s="1646"/>
    </row>
    <row r="60" spans="2:10" ht="14.25">
      <c r="B60" s="1601" t="s">
        <v>4550</v>
      </c>
      <c r="D60" s="1645" t="s">
        <v>4610</v>
      </c>
      <c r="E60" s="1646"/>
      <c r="F60" s="1646"/>
      <c r="G60" s="1646"/>
      <c r="H60" s="1646"/>
      <c r="I60" s="1646"/>
      <c r="J60" s="1646"/>
    </row>
    <row r="61" spans="2:10" ht="14.25">
      <c r="B61" s="1601" t="s">
        <v>4551</v>
      </c>
      <c r="D61" s="1645" t="s">
        <v>4610</v>
      </c>
      <c r="E61" s="1646"/>
      <c r="F61" s="1646"/>
      <c r="G61" s="1646"/>
      <c r="H61" s="1646"/>
      <c r="I61" s="1646"/>
      <c r="J61" s="1646"/>
    </row>
    <row r="62" spans="2:10" ht="14.25">
      <c r="B62" s="1601" t="s">
        <v>4552</v>
      </c>
      <c r="D62" s="1645" t="s">
        <v>4610</v>
      </c>
      <c r="E62" s="1646"/>
      <c r="F62" s="1646"/>
      <c r="G62" s="1646"/>
      <c r="H62" s="1646"/>
      <c r="I62" s="1646"/>
      <c r="J62" s="1646"/>
    </row>
    <row r="63" spans="2:10" ht="14.25">
      <c r="B63" s="1601" t="s">
        <v>4553</v>
      </c>
      <c r="D63" s="1645" t="s">
        <v>4610</v>
      </c>
      <c r="E63" s="1646"/>
      <c r="F63" s="1646"/>
      <c r="G63" s="1646"/>
      <c r="H63" s="1646"/>
      <c r="I63" s="1646"/>
      <c r="J63" s="1646"/>
    </row>
    <row r="64" spans="2:10" ht="14.25">
      <c r="B64" s="1601" t="s">
        <v>4554</v>
      </c>
      <c r="D64" s="1645" t="s">
        <v>4610</v>
      </c>
      <c r="E64" s="1646"/>
      <c r="F64" s="1646"/>
      <c r="G64" s="1646"/>
      <c r="H64" s="1646"/>
      <c r="I64" s="1646"/>
      <c r="J64" s="1646"/>
    </row>
    <row r="65" spans="2:10" ht="14.25">
      <c r="B65" s="1601" t="s">
        <v>4555</v>
      </c>
      <c r="D65" s="1645" t="s">
        <v>4610</v>
      </c>
      <c r="E65" s="1646"/>
      <c r="F65" s="1646"/>
      <c r="G65" s="1646"/>
      <c r="H65" s="1646"/>
      <c r="I65" s="1646"/>
      <c r="J65" s="1646"/>
    </row>
    <row r="66" spans="2:10" ht="14.25">
      <c r="B66" s="1601" t="s">
        <v>4556</v>
      </c>
      <c r="D66" s="1645" t="s">
        <v>4610</v>
      </c>
      <c r="E66" s="1646"/>
      <c r="F66" s="1646"/>
      <c r="G66" s="1646"/>
      <c r="H66" s="1646"/>
      <c r="I66" s="1646"/>
      <c r="J66" s="1646"/>
    </row>
    <row r="67" spans="2:10" ht="14.25">
      <c r="B67" s="1601" t="s">
        <v>4557</v>
      </c>
      <c r="D67" s="1645" t="s">
        <v>4610</v>
      </c>
      <c r="E67" s="1646"/>
      <c r="F67" s="1646"/>
      <c r="G67" s="1646"/>
      <c r="H67" s="1646"/>
      <c r="I67" s="1646"/>
      <c r="J67" s="1646"/>
    </row>
    <row r="68" spans="2:10" ht="14.25">
      <c r="B68" s="1601" t="s">
        <v>4558</v>
      </c>
      <c r="D68" s="1645" t="s">
        <v>4610</v>
      </c>
      <c r="E68" s="1646"/>
      <c r="F68" s="1646"/>
      <c r="G68" s="1646"/>
      <c r="H68" s="1646"/>
      <c r="I68" s="1646"/>
      <c r="J68" s="1646"/>
    </row>
    <row r="69" spans="2:10" ht="14.25">
      <c r="B69" s="1601" t="s">
        <v>4559</v>
      </c>
      <c r="D69" s="1645" t="s">
        <v>4610</v>
      </c>
      <c r="E69" s="1646"/>
      <c r="F69" s="1646"/>
      <c r="G69" s="1646"/>
      <c r="H69" s="1646"/>
      <c r="I69" s="1646"/>
      <c r="J69" s="1646"/>
    </row>
    <row r="70" spans="2:10" ht="14.25">
      <c r="B70" s="1601" t="s">
        <v>4560</v>
      </c>
      <c r="D70" s="1645" t="s">
        <v>4610</v>
      </c>
      <c r="E70" s="1646"/>
      <c r="F70" s="1646"/>
      <c r="G70" s="1646"/>
      <c r="H70" s="1646"/>
      <c r="I70" s="1646"/>
      <c r="J70" s="1646"/>
    </row>
    <row r="71" spans="2:10" ht="14.25">
      <c r="B71" s="1601" t="s">
        <v>4561</v>
      </c>
      <c r="D71" s="1645" t="s">
        <v>4610</v>
      </c>
      <c r="E71" s="1646"/>
      <c r="F71" s="1646"/>
      <c r="G71" s="1646"/>
      <c r="H71" s="1646"/>
      <c r="I71" s="1646"/>
      <c r="J71" s="1646"/>
    </row>
    <row r="72" spans="2:10" ht="14.25">
      <c r="B72" s="1601" t="s">
        <v>4562</v>
      </c>
      <c r="D72" s="1645" t="s">
        <v>4610</v>
      </c>
      <c r="E72" s="1646"/>
      <c r="F72" s="1646"/>
      <c r="G72" s="1646"/>
      <c r="H72" s="1646"/>
      <c r="I72" s="1646"/>
      <c r="J72" s="1646"/>
    </row>
    <row r="73" spans="2:10" ht="14.25">
      <c r="B73" s="1601" t="s">
        <v>4563</v>
      </c>
      <c r="D73" s="1645" t="s">
        <v>4610</v>
      </c>
      <c r="E73" s="1646"/>
      <c r="F73" s="1646"/>
      <c r="G73" s="1646"/>
      <c r="H73" s="1646"/>
      <c r="I73" s="1646"/>
      <c r="J73" s="1646"/>
    </row>
    <row r="74" spans="2:10" ht="14.25">
      <c r="B74" s="1601" t="s">
        <v>4564</v>
      </c>
      <c r="D74" s="1645" t="s">
        <v>4610</v>
      </c>
      <c r="E74" s="1646"/>
      <c r="F74" s="1646"/>
      <c r="G74" s="1646"/>
      <c r="H74" s="1646"/>
      <c r="I74" s="1646"/>
      <c r="J74" s="1646"/>
    </row>
    <row r="75" spans="2:10" ht="14.25">
      <c r="B75" s="1601" t="s">
        <v>4565</v>
      </c>
      <c r="D75" s="1645" t="s">
        <v>4610</v>
      </c>
      <c r="E75" s="1646"/>
      <c r="F75" s="1646"/>
      <c r="G75" s="1646"/>
      <c r="H75" s="1646"/>
      <c r="I75" s="1646"/>
      <c r="J75" s="1646"/>
    </row>
    <row r="76" spans="2:10" ht="14.25">
      <c r="B76" s="1601" t="s">
        <v>4566</v>
      </c>
      <c r="D76" s="1645" t="s">
        <v>4610</v>
      </c>
      <c r="E76" s="1646"/>
      <c r="F76" s="1646"/>
      <c r="G76" s="1646"/>
      <c r="H76" s="1646"/>
      <c r="I76" s="1646"/>
      <c r="J76" s="1646"/>
    </row>
    <row r="77" spans="2:10" ht="14.25">
      <c r="B77" s="1601" t="s">
        <v>4567</v>
      </c>
      <c r="D77" s="1645" t="s">
        <v>4610</v>
      </c>
      <c r="E77" s="1646"/>
      <c r="F77" s="1646"/>
      <c r="G77" s="1646"/>
      <c r="H77" s="1646"/>
      <c r="I77" s="1646"/>
      <c r="J77" s="1646"/>
    </row>
    <row r="78" spans="2:10" ht="14.25">
      <c r="B78" s="1601" t="s">
        <v>4568</v>
      </c>
      <c r="D78" s="1645" t="s">
        <v>4610</v>
      </c>
      <c r="E78" s="1646"/>
      <c r="F78" s="1646"/>
      <c r="G78" s="1646"/>
      <c r="H78" s="1646"/>
      <c r="I78" s="1646"/>
      <c r="J78" s="1646"/>
    </row>
    <row r="79" spans="2:10" ht="14.25">
      <c r="B79" s="1601" t="s">
        <v>4569</v>
      </c>
      <c r="D79" s="1645" t="s">
        <v>4610</v>
      </c>
      <c r="E79" s="1646"/>
      <c r="F79" s="1646"/>
      <c r="G79" s="1646"/>
      <c r="H79" s="1646"/>
      <c r="I79" s="1646"/>
      <c r="J79" s="1646"/>
    </row>
    <row r="80" spans="2:10" ht="14.25">
      <c r="B80" s="1601" t="s">
        <v>4570</v>
      </c>
      <c r="D80" s="1645" t="s">
        <v>4610</v>
      </c>
      <c r="E80" s="1646"/>
      <c r="F80" s="1646"/>
      <c r="G80" s="1646"/>
      <c r="H80" s="1646"/>
      <c r="I80" s="1646"/>
      <c r="J80" s="1646"/>
    </row>
    <row r="81" spans="2:10" ht="14.25">
      <c r="B81" s="1601" t="s">
        <v>4571</v>
      </c>
      <c r="D81" s="1645" t="s">
        <v>4610</v>
      </c>
      <c r="E81" s="1646"/>
      <c r="F81" s="1646"/>
      <c r="G81" s="1646"/>
      <c r="H81" s="1646"/>
      <c r="I81" s="1646"/>
      <c r="J81" s="1646"/>
    </row>
    <row r="82" spans="2:10" ht="14.25">
      <c r="B82" s="1601" t="s">
        <v>4572</v>
      </c>
      <c r="D82" s="1645" t="s">
        <v>4610</v>
      </c>
      <c r="E82" s="1646"/>
      <c r="F82" s="1646"/>
      <c r="G82" s="1646"/>
      <c r="H82" s="1646"/>
      <c r="I82" s="1646"/>
      <c r="J82" s="1646"/>
    </row>
    <row r="83" spans="2:10" ht="14.25">
      <c r="B83" s="1601" t="s">
        <v>4573</v>
      </c>
      <c r="D83" s="1645" t="s">
        <v>4610</v>
      </c>
      <c r="E83" s="1646"/>
      <c r="F83" s="1646"/>
      <c r="G83" s="1646"/>
      <c r="H83" s="1646"/>
      <c r="I83" s="1646"/>
      <c r="J83" s="1646"/>
    </row>
    <row r="84" spans="2:10" ht="14.25">
      <c r="B84" s="1601" t="s">
        <v>4574</v>
      </c>
      <c r="D84" s="1645" t="s">
        <v>4610</v>
      </c>
      <c r="E84" s="1646"/>
      <c r="F84" s="1646"/>
      <c r="G84" s="1646"/>
      <c r="H84" s="1646"/>
      <c r="I84" s="1646"/>
      <c r="J84" s="1646"/>
    </row>
    <row r="85" spans="2:10" ht="14.25">
      <c r="B85" s="1601" t="s">
        <v>4575</v>
      </c>
      <c r="D85" s="1645" t="s">
        <v>4610</v>
      </c>
      <c r="E85" s="1646"/>
      <c r="F85" s="1646"/>
      <c r="G85" s="1646"/>
      <c r="H85" s="1646"/>
      <c r="I85" s="1646"/>
      <c r="J85" s="1646"/>
    </row>
    <row r="86" spans="2:10" ht="14.25">
      <c r="B86" s="1601" t="s">
        <v>4576</v>
      </c>
      <c r="D86" s="1645" t="s">
        <v>4610</v>
      </c>
      <c r="E86" s="1646"/>
      <c r="F86" s="1646"/>
      <c r="G86" s="1646"/>
      <c r="H86" s="1646"/>
      <c r="I86" s="1646"/>
      <c r="J86" s="1646"/>
    </row>
    <row r="87" spans="2:10" ht="14.25">
      <c r="B87" s="1601" t="s">
        <v>4577</v>
      </c>
      <c r="D87" s="1645" t="s">
        <v>4610</v>
      </c>
      <c r="E87" s="1646"/>
      <c r="F87" s="1646"/>
      <c r="G87" s="1646"/>
      <c r="H87" s="1646"/>
      <c r="I87" s="1646"/>
      <c r="J87" s="1646"/>
    </row>
    <row r="88" spans="2:10" ht="14.25">
      <c r="B88" s="1601" t="s">
        <v>4578</v>
      </c>
      <c r="D88" s="1645" t="s">
        <v>4610</v>
      </c>
      <c r="E88" s="1646"/>
      <c r="F88" s="1646"/>
      <c r="G88" s="1646"/>
      <c r="H88" s="1646"/>
      <c r="I88" s="1646"/>
      <c r="J88" s="1646"/>
    </row>
    <row r="89" spans="2:10" ht="14.25">
      <c r="B89" s="1601" t="s">
        <v>4579</v>
      </c>
      <c r="D89" s="1645" t="s">
        <v>4610</v>
      </c>
      <c r="E89" s="1646"/>
      <c r="F89" s="1646"/>
      <c r="G89" s="1646"/>
      <c r="H89" s="1646"/>
      <c r="I89" s="1646"/>
      <c r="J89" s="1646"/>
    </row>
    <row r="90" spans="2:10" ht="14.25">
      <c r="B90" s="1601" t="s">
        <v>4580</v>
      </c>
      <c r="D90" s="1645" t="s">
        <v>4610</v>
      </c>
      <c r="E90" s="1646"/>
      <c r="F90" s="1646"/>
      <c r="G90" s="1646"/>
      <c r="H90" s="1646"/>
      <c r="I90" s="1646"/>
      <c r="J90" s="1646"/>
    </row>
    <row r="91" spans="2:10" ht="14.25">
      <c r="B91" s="1601" t="s">
        <v>4581</v>
      </c>
      <c r="D91" s="1645" t="s">
        <v>4610</v>
      </c>
      <c r="E91" s="1646"/>
      <c r="F91" s="1646"/>
      <c r="G91" s="1646"/>
      <c r="H91" s="1646"/>
      <c r="I91" s="1646"/>
      <c r="J91" s="1646"/>
    </row>
    <row r="92" spans="2:10" ht="14.25">
      <c r="B92" s="1601" t="s">
        <v>4582</v>
      </c>
      <c r="D92" s="1645" t="s">
        <v>4610</v>
      </c>
      <c r="E92" s="1646"/>
      <c r="F92" s="1646"/>
      <c r="G92" s="1646"/>
      <c r="H92" s="1646"/>
      <c r="I92" s="1646"/>
      <c r="J92" s="1646"/>
    </row>
    <row r="93" spans="2:10" ht="14.25">
      <c r="B93" s="1601" t="s">
        <v>4583</v>
      </c>
      <c r="D93" s="1645" t="s">
        <v>4610</v>
      </c>
      <c r="E93" s="1646"/>
      <c r="F93" s="1646"/>
      <c r="G93" s="1646"/>
      <c r="H93" s="1646"/>
      <c r="I93" s="1646"/>
      <c r="J93" s="1646"/>
    </row>
    <row r="94" spans="2:10" ht="14.25">
      <c r="B94" s="1601" t="s">
        <v>4584</v>
      </c>
      <c r="D94" s="1645" t="s">
        <v>4610</v>
      </c>
      <c r="E94" s="1646"/>
      <c r="F94" s="1646"/>
      <c r="G94" s="1646"/>
      <c r="H94" s="1646"/>
      <c r="I94" s="1646"/>
      <c r="J94" s="1646"/>
    </row>
    <row r="95" spans="2:10" ht="14.25">
      <c r="B95" s="1601" t="s">
        <v>4585</v>
      </c>
      <c r="D95" s="1645" t="s">
        <v>4610</v>
      </c>
      <c r="E95" s="1646"/>
      <c r="F95" s="1646"/>
      <c r="G95" s="1646"/>
      <c r="H95" s="1646"/>
      <c r="I95" s="1646"/>
      <c r="J95" s="1646"/>
    </row>
    <row r="96" spans="2:10" ht="14.25">
      <c r="B96" s="1601" t="s">
        <v>4586</v>
      </c>
      <c r="D96" s="1645" t="s">
        <v>4610</v>
      </c>
      <c r="E96" s="1646"/>
      <c r="F96" s="1646"/>
      <c r="G96" s="1646"/>
      <c r="H96" s="1646"/>
      <c r="I96" s="1646"/>
      <c r="J96" s="1646"/>
    </row>
    <row r="97" spans="2:10" ht="14.25">
      <c r="B97" s="1601" t="s">
        <v>4587</v>
      </c>
      <c r="D97" s="1645" t="s">
        <v>4610</v>
      </c>
      <c r="E97" s="1646"/>
      <c r="F97" s="1646"/>
      <c r="G97" s="1646"/>
      <c r="H97" s="1646"/>
      <c r="I97" s="1646"/>
      <c r="J97" s="1646"/>
    </row>
    <row r="98" spans="2:10" ht="14.25">
      <c r="B98" s="1601" t="s">
        <v>4588</v>
      </c>
      <c r="D98" s="1645" t="s">
        <v>4610</v>
      </c>
      <c r="E98" s="1646"/>
      <c r="F98" s="1646"/>
      <c r="G98" s="1646"/>
      <c r="H98" s="1646"/>
      <c r="I98" s="1646"/>
      <c r="J98" s="1646"/>
    </row>
    <row r="99" spans="2:10" ht="14.25">
      <c r="B99" s="1601" t="s">
        <v>4589</v>
      </c>
      <c r="D99" s="1645" t="s">
        <v>4610</v>
      </c>
      <c r="E99" s="1646"/>
      <c r="F99" s="1646"/>
      <c r="G99" s="1646"/>
      <c r="H99" s="1646"/>
      <c r="I99" s="1646"/>
      <c r="J99" s="1646"/>
    </row>
    <row r="100" spans="2:10" ht="14.25">
      <c r="B100" s="1601" t="s">
        <v>4590</v>
      </c>
      <c r="D100" s="1645" t="s">
        <v>4610</v>
      </c>
      <c r="E100" s="1646"/>
      <c r="F100" s="1646"/>
      <c r="G100" s="1646"/>
      <c r="H100" s="1646"/>
      <c r="I100" s="1646"/>
      <c r="J100" s="1646"/>
    </row>
    <row r="101" spans="2:10" ht="14.25">
      <c r="B101" s="1601" t="s">
        <v>4591</v>
      </c>
      <c r="D101" s="1645" t="s">
        <v>4610</v>
      </c>
      <c r="E101" s="1646"/>
      <c r="F101" s="1646"/>
      <c r="G101" s="1646"/>
      <c r="H101" s="1646"/>
      <c r="I101" s="1646"/>
      <c r="J101" s="1646"/>
    </row>
    <row r="102" spans="2:10" ht="14.25">
      <c r="B102" s="1601" t="s">
        <v>4592</v>
      </c>
      <c r="D102" s="1645" t="s">
        <v>4610</v>
      </c>
      <c r="E102" s="1646"/>
      <c r="F102" s="1646"/>
      <c r="G102" s="1646"/>
      <c r="H102" s="1646"/>
      <c r="I102" s="1646"/>
      <c r="J102" s="1646"/>
    </row>
    <row r="103" spans="2:10" ht="14.25">
      <c r="B103" s="1601" t="s">
        <v>4593</v>
      </c>
      <c r="D103" s="1645" t="s">
        <v>4610</v>
      </c>
      <c r="E103" s="1646"/>
      <c r="F103" s="1646"/>
      <c r="G103" s="1646"/>
      <c r="H103" s="1646"/>
      <c r="I103" s="1646"/>
      <c r="J103" s="1646"/>
    </row>
    <row r="104" spans="2:10" ht="14.25">
      <c r="B104" s="1601" t="s">
        <v>4594</v>
      </c>
      <c r="D104" s="1645" t="s">
        <v>4610</v>
      </c>
      <c r="E104" s="1646"/>
      <c r="F104" s="1646"/>
      <c r="G104" s="1646"/>
      <c r="H104" s="1646"/>
      <c r="I104" s="1646"/>
      <c r="J104" s="1646"/>
    </row>
    <row r="105" spans="2:10" ht="14.25">
      <c r="B105" s="1601" t="s">
        <v>4595</v>
      </c>
      <c r="D105" s="1645" t="s">
        <v>4610</v>
      </c>
      <c r="E105" s="1646"/>
      <c r="F105" s="1646"/>
      <c r="G105" s="1646"/>
      <c r="H105" s="1646"/>
      <c r="I105" s="1646"/>
      <c r="J105" s="1646"/>
    </row>
    <row r="106" spans="2:10" ht="14.25">
      <c r="B106" s="1601" t="s">
        <v>4596</v>
      </c>
      <c r="D106" s="1645" t="s">
        <v>4610</v>
      </c>
      <c r="E106" s="1646"/>
      <c r="F106" s="1646"/>
      <c r="G106" s="1646"/>
      <c r="H106" s="1646"/>
      <c r="I106" s="1646"/>
      <c r="J106" s="1646"/>
    </row>
    <row r="107" spans="2:10" ht="14.25">
      <c r="B107" s="1601" t="s">
        <v>4597</v>
      </c>
      <c r="D107" s="1645" t="s">
        <v>4610</v>
      </c>
      <c r="E107" s="1646"/>
      <c r="F107" s="1646"/>
      <c r="G107" s="1646"/>
      <c r="H107" s="1646"/>
      <c r="I107" s="1646"/>
      <c r="J107" s="1646"/>
    </row>
    <row r="108" spans="2:10" ht="14.25">
      <c r="B108" s="1601" t="s">
        <v>4598</v>
      </c>
      <c r="D108" s="1645" t="s">
        <v>4610</v>
      </c>
      <c r="E108" s="1646"/>
      <c r="F108" s="1646"/>
      <c r="G108" s="1646"/>
      <c r="H108" s="1646"/>
      <c r="I108" s="1646"/>
      <c r="J108" s="1646"/>
    </row>
    <row r="109" spans="2:10" ht="14.25">
      <c r="B109" s="1601" t="s">
        <v>4599</v>
      </c>
      <c r="D109" s="1645" t="s">
        <v>4610</v>
      </c>
      <c r="E109" s="1646"/>
      <c r="F109" s="1646"/>
      <c r="G109" s="1646"/>
      <c r="H109" s="1646"/>
      <c r="I109" s="1646"/>
      <c r="J109" s="1646"/>
    </row>
    <row r="110" spans="2:10" ht="14.25">
      <c r="B110" s="1601" t="s">
        <v>4600</v>
      </c>
      <c r="D110" s="1645" t="s">
        <v>4610</v>
      </c>
      <c r="E110" s="1646"/>
      <c r="F110" s="1646"/>
      <c r="G110" s="1646"/>
      <c r="H110" s="1646"/>
      <c r="I110" s="1646"/>
      <c r="J110" s="1646"/>
    </row>
    <row r="111" spans="2:10" ht="14.25">
      <c r="B111" s="1601" t="s">
        <v>4601</v>
      </c>
      <c r="D111" s="1645" t="s">
        <v>4610</v>
      </c>
      <c r="E111" s="1646"/>
      <c r="F111" s="1646"/>
      <c r="G111" s="1646"/>
      <c r="H111" s="1646"/>
      <c r="I111" s="1646"/>
      <c r="J111" s="1646"/>
    </row>
    <row r="112" spans="2:10" ht="14.25">
      <c r="B112" s="1601" t="s">
        <v>4602</v>
      </c>
      <c r="D112" s="1645" t="s">
        <v>4610</v>
      </c>
      <c r="E112" s="1646"/>
      <c r="F112" s="1646"/>
      <c r="G112" s="1646"/>
      <c r="H112" s="1646"/>
      <c r="I112" s="1646"/>
      <c r="J112" s="1646"/>
    </row>
    <row r="113" spans="2:10" ht="14.25">
      <c r="B113" s="1601" t="s">
        <v>4603</v>
      </c>
      <c r="D113" s="1645" t="s">
        <v>4610</v>
      </c>
      <c r="E113" s="1646"/>
      <c r="F113" s="1646"/>
      <c r="G113" s="1646"/>
      <c r="H113" s="1646"/>
      <c r="I113" s="1646"/>
      <c r="J113" s="1646"/>
    </row>
    <row r="114" spans="2:10" ht="14.25">
      <c r="B114" s="1601" t="s">
        <v>4604</v>
      </c>
      <c r="D114" s="1645" t="s">
        <v>4610</v>
      </c>
      <c r="E114" s="1646"/>
      <c r="F114" s="1646"/>
      <c r="G114" s="1646"/>
      <c r="H114" s="1646"/>
      <c r="I114" s="1646"/>
      <c r="J114" s="1646"/>
    </row>
    <row r="115" spans="2:10" ht="14.25">
      <c r="B115" s="1601" t="s">
        <v>4605</v>
      </c>
      <c r="D115" s="1645" t="s">
        <v>4610</v>
      </c>
      <c r="E115" s="1646"/>
      <c r="F115" s="1646"/>
      <c r="G115" s="1646"/>
      <c r="H115" s="1646"/>
      <c r="I115" s="1646"/>
      <c r="J115" s="1646"/>
    </row>
    <row r="116" spans="2:10" ht="14.25">
      <c r="B116" s="1601" t="s">
        <v>4606</v>
      </c>
      <c r="D116" s="1645" t="s">
        <v>4610</v>
      </c>
      <c r="E116" s="1646"/>
      <c r="F116" s="1646"/>
      <c r="G116" s="1646"/>
      <c r="H116" s="1646"/>
      <c r="I116" s="1646"/>
      <c r="J116" s="1646"/>
    </row>
    <row r="117" spans="2:10" ht="14.25">
      <c r="B117" s="1601" t="s">
        <v>4607</v>
      </c>
      <c r="D117" s="1645" t="s">
        <v>4610</v>
      </c>
      <c r="E117" s="1646"/>
      <c r="F117" s="1646"/>
      <c r="G117" s="1646"/>
      <c r="H117" s="1646"/>
      <c r="I117" s="1646"/>
      <c r="J117" s="1646"/>
    </row>
    <row r="118" spans="2:10" ht="14.25">
      <c r="B118" s="1601" t="s">
        <v>4608</v>
      </c>
      <c r="D118" s="1645" t="s">
        <v>4610</v>
      </c>
      <c r="E118" s="1646"/>
      <c r="F118" s="1646"/>
      <c r="G118" s="1646"/>
      <c r="H118" s="1646"/>
      <c r="I118" s="1646"/>
      <c r="J118" s="1646"/>
    </row>
    <row r="119" spans="2:10" ht="14.25">
      <c r="B119" s="1601" t="s">
        <v>4609</v>
      </c>
      <c r="D119" s="1645" t="s">
        <v>4610</v>
      </c>
      <c r="E119" s="1646"/>
      <c r="F119" s="1646"/>
      <c r="G119" s="1646"/>
      <c r="H119" s="1646"/>
      <c r="I119" s="1646"/>
      <c r="J119" s="1646"/>
    </row>
  </sheetData>
  <hyperlinks>
    <hyperlink ref="B6" location="'Hinweise'!A1" tooltip="Zu Tabellenblatt wechseln" display="'Hinweise"/>
    <hyperlink ref="B7" location="'Formelsammlung'!A1" tooltip="Zu Tabellenblatt wechseln" display="'Formelsammlung"/>
    <hyperlink ref="B8" location="'Kopieren'!A1" tooltip="Zu Tabellenblatt wechseln" display="'Kopieren"/>
    <hyperlink ref="B9" location="'Formeln schreiben'!A1" tooltip="Zu Tabellenblatt wechseln" display="'Formeln schreiben"/>
    <hyperlink ref="B10" location="'Antwortsätze schreiben'!A1" tooltip="Zu Tabellenblatt wechseln" display="'Antwortsätze schreiben"/>
    <hyperlink ref="B11" location="'Winkel berechnen'!A1" tooltip="Zu Tabellenblatt wechseln" display="'Winkel berechnen"/>
    <hyperlink ref="B12" location="'Rechteck'!A1" tooltip="Zu Tabellenblatt wechseln" display="'Rechteck"/>
    <hyperlink ref="B13" location="'Dreieck'!A1" tooltip="Zu Tabellenblatt wechseln" display="'Dreieck"/>
    <hyperlink ref="B14" location="'Kreis'!A1" tooltip="Zu Tabellenblatt wechseln" display="'Kreis"/>
    <hyperlink ref="B15" location="'Papierformat-Nutzen'!A1" tooltip="Zu Tabellenblatt wechseln" display="'Papierformat-Nutzen"/>
    <hyperlink ref="B16" location="'Quader'!A1" tooltip="Zu Tabellenblatt wechseln" display="'Quader"/>
    <hyperlink ref="B17" location="'Volumen'!A1" tooltip="Zu Tabellenblatt wechseln" display="'Volumen"/>
    <hyperlink ref="B18" location="'Mischung'!A1" tooltip="Zu Tabellenblatt wechseln" display="'Mischung"/>
    <hyperlink ref="B19" location="'Hilfslinien 1'!A1" tooltip="Zu Tabellenblatt wechseln" display="'Hilfslinien 1"/>
    <hyperlink ref="B20" location="'Hilfslinien 2'!A1" tooltip="Zu Tabellenblatt wechseln" display="'Hilfslinien 2"/>
    <hyperlink ref="B21" location="'Auflösung_ppi_dpi'!A1" tooltip="Zu Tabellenblatt wechseln" display="'Auflösung_ppi_dpi"/>
    <hyperlink ref="B22" location="'Licht-Wellenlänge-Frequenz'!A1" tooltip="Zu Tabellenblatt wechseln" display="'Licht-Wellenlänge-Frequenz"/>
    <hyperlink ref="B23" location="'Lumen-Lux-Candela'!A1" tooltip="Zu Tabellenblatt wechseln" display="'Lumen-Lux-Candela"/>
    <hyperlink ref="B24" location="'Reflektionsgesetz'!A1" tooltip="Zu Tabellenblatt wechseln" display="'Reflektionsgesetz"/>
    <hyperlink ref="B25" location="'Projektion-Leitzahl'!A1" tooltip="Zu Tabellenblatt wechseln" display="'Projektion-Leitzahl"/>
    <hyperlink ref="B26" location="'Öffnungsverhältnis-Blende'!A1" tooltip="Zu Tabellenblatt wechseln" display="'Öffnungsverhältnis-Blende"/>
    <hyperlink ref="B27" location="'Blenden-Zeiten-Belicht.-Reihen'!A1" tooltip="Zu Tabellenblatt wechseln" display="'Blenden-Zeiten-Belicht.-Reihen"/>
    <hyperlink ref="B28" location="'Winkel'!A1" tooltip="Zu Tabellenblatt wechseln" display="'Winkel"/>
    <hyperlink ref="B29" location="'Vergütung'!A1" tooltip="Zu Tabellenblatt wechseln" display="'Vergütung"/>
    <hyperlink ref="B30" location="'Polarisation'!A1" tooltip="Zu Tabellenblatt wechseln" display="'Polarisation"/>
    <hyperlink ref="B31" location="'Interferenz'!A1" tooltip="Zu Tabellenblatt wechseln" display="'Interferenz"/>
    <hyperlink ref="B32" location="'Brechung'!A1" tooltip="Zu Tabellenblatt wechseln" display="'Brechung"/>
    <hyperlink ref="B33" location="'Brechung Prisma'!A1" tooltip="Zu Tabellenblatt wechseln" display="'Brechung Prisma"/>
    <hyperlink ref="B34" location="'Brechung-Wölbung'!A1" tooltip="Zu Tabellenblatt wechseln" display="'Brechung-Wölbung"/>
    <hyperlink ref="B35" location="'V_a_a'_f'!A1" tooltip="Zu Tabellenblatt wechseln" display="'V_a_a'_f"/>
    <hyperlink ref="B36" location="'Opt. Rechnen_Varianten'!A1" tooltip="Zu Tabellenblatt wechseln" display="'Opt. Rechnen_Varianten"/>
    <hyperlink ref="B37" location="'Belichtung-Bildweite'!A1" tooltip="Zu Tabellenblatt wechseln" display="'Belichtung-Bildweite"/>
    <hyperlink ref="B38" location="'Abb.-maßstab-Brennweite'!A1" tooltip="Zu Tabellenblatt wechseln" display="'Abb.-maßstab-Brennweite"/>
    <hyperlink ref="B39" location="'Proportionen'!A1" tooltip="Zu Tabellenblatt wechseln" display="'Proportionen"/>
    <hyperlink ref="B40" location="'Bildwinkel_-kreis_Sensorgröße'!A1" tooltip="Zu Tabellenblatt wechseln" display="'Bildwinkel_-kreis_Sensorgröße"/>
    <hyperlink ref="B41" location="'Bildkreis-Shift'!A1" tooltip="Zu Tabellenblatt wechseln" display="'Bildkreis-Shift"/>
    <hyperlink ref="B42" location="'Lichtabfall im Bildkreis'!A1" tooltip="Zu Tabellenblatt wechseln" display="'Lichtabfall im Bildkreis"/>
    <hyperlink ref="B43" location="'projektive Verzeichnung'!A1" tooltip="Zu Tabellenblatt wechseln" display="'projektive Verzeichnung"/>
    <hyperlink ref="B44" location="'Scheimpflug'!A1" tooltip="Zu Tabellenblatt wechseln" display="'Scheimpflug"/>
    <hyperlink ref="B45" location="'Auge Scharfsehen'!A1" tooltip="Zu Tabellenblatt wechseln" display="'Auge Scharfsehen"/>
    <hyperlink ref="B46" location="'Zerstreuungskreis'!A1" tooltip="Zu Tabellenblatt wechseln" display="'Zerstreuungskreis"/>
    <hyperlink ref="B47" location="'Schärfentiefe'!A1" tooltip="Zu Tabellenblatt wechseln" display="'Schärfentiefe"/>
    <hyperlink ref="B48" location="'Digitalisieren'!A1" tooltip="Zu Tabellenblatt wechseln" display="'Digitalisieren"/>
    <hyperlink ref="B49" location="'Zins-Kredit'!A1" tooltip="Zu Tabellenblatt wechseln" display="'Zins-Kredit"/>
    <hyperlink ref="B50" location="'Datenbank nutzen'!A1" tooltip="Zu Tabellenblatt wechseln" display="'Datenbank nutzen"/>
    <hyperlink ref="B51" location="'Zeitraffer'!A1" tooltip="Zu Tabellenblatt wechseln" display="'Zeitraffer"/>
    <hyperlink ref="B52" location="'A-1'!A1" tooltip="Zu Tabellenblatt wechseln" display="'A-1"/>
    <hyperlink ref="B53" location="'A-2'!A1" tooltip="Zu Tabellenblatt wechseln" display="'A-2"/>
    <hyperlink ref="B54" location="'A-3'!A1" tooltip="Zu Tabellenblatt wechseln" display="'A-3"/>
    <hyperlink ref="B55" location="'A-4'!A1" tooltip="Zu Tabellenblatt wechseln" display="'A-4"/>
    <hyperlink ref="B56" location="'A-5'!A1" tooltip="Zu Tabellenblatt wechseln" display="'A-5"/>
    <hyperlink ref="B57" location="'A-6'!A1" tooltip="Zu Tabellenblatt wechseln" display="'A-6"/>
    <hyperlink ref="B58" location="'A-7'!A1" tooltip="Zu Tabellenblatt wechseln" display="'A-7"/>
    <hyperlink ref="B59" location="'A-8'!A1" tooltip="Zu Tabellenblatt wechseln" display="'A-8"/>
    <hyperlink ref="B60" location="'A-9'!A1" tooltip="Zu Tabellenblatt wechseln" display="'A-9"/>
    <hyperlink ref="B61" location="'A-10'!A1" tooltip="Zu Tabellenblatt wechseln" display="'A-10"/>
    <hyperlink ref="B62" location="'A-11'!A1" tooltip="Zu Tabellenblatt wechseln" display="'A-11"/>
    <hyperlink ref="B63" location="'A-12'!A1" tooltip="Zu Tabellenblatt wechseln" display="'A-12"/>
    <hyperlink ref="B64" location="'A-13'!A1" tooltip="Zu Tabellenblatt wechseln" display="'A-13"/>
    <hyperlink ref="B65" location="'A-14'!A1" tooltip="Zu Tabellenblatt wechseln" display="'A-14"/>
    <hyperlink ref="B66" location="'A-15'!A1" tooltip="Zu Tabellenblatt wechseln" display="'A-15"/>
    <hyperlink ref="B67" location="'A-16'!A1" tooltip="Zu Tabellenblatt wechseln" display="'A-16"/>
    <hyperlink ref="B68" location="'A-17'!A1" tooltip="Zu Tabellenblatt wechseln" display="'A-17"/>
    <hyperlink ref="B69" location="'A-18'!A1" tooltip="Zu Tabellenblatt wechseln" display="'A-18"/>
    <hyperlink ref="B70" location="'A-19'!A1" tooltip="Zu Tabellenblatt wechseln" display="'A-19"/>
    <hyperlink ref="B71" location="'A-20'!A1" tooltip="Zu Tabellenblatt wechseln" display="'A-20"/>
    <hyperlink ref="B72" location="'A-21'!A1" tooltip="Zu Tabellenblatt wechseln" display="'A-21"/>
    <hyperlink ref="B73" location="'A-22'!A1" tooltip="Zu Tabellenblatt wechseln" display="'A-22"/>
    <hyperlink ref="B74" location="'A-23'!A1" tooltip="Zu Tabellenblatt wechseln" display="'A-23"/>
    <hyperlink ref="B75" location="'A-24'!A1" tooltip="Zu Tabellenblatt wechseln" display="'A-24"/>
    <hyperlink ref="B76" location="'A-25'!A1" tooltip="Zu Tabellenblatt wechseln" display="'A-25"/>
    <hyperlink ref="B77" location="'A-26'!A1" tooltip="Zu Tabellenblatt wechseln" display="'A-26"/>
    <hyperlink ref="B78" location="'A-27'!A1" tooltip="Zu Tabellenblatt wechseln" display="'A-27"/>
    <hyperlink ref="B79" location="'A-28'!A1" tooltip="Zu Tabellenblatt wechseln" display="'A-28"/>
    <hyperlink ref="B80" location="'A-29'!A1" tooltip="Zu Tabellenblatt wechseln" display="'A-29"/>
    <hyperlink ref="B81" location="'A-30'!A1" tooltip="Zu Tabellenblatt wechseln" display="'A-30"/>
    <hyperlink ref="B82" location="'A-31'!A1" tooltip="Zu Tabellenblatt wechseln" display="'A-31"/>
    <hyperlink ref="B83" location="'A-32'!A1" tooltip="Zu Tabellenblatt wechseln" display="'A-32"/>
    <hyperlink ref="B84" location="'A-33'!A1" tooltip="Zu Tabellenblatt wechseln" display="'A-33"/>
    <hyperlink ref="B85" location="'A-34'!A1" tooltip="Zu Tabellenblatt wechseln" display="'A-34"/>
    <hyperlink ref="B86" location="'A-35'!A1" tooltip="Zu Tabellenblatt wechseln" display="'A-35"/>
    <hyperlink ref="B87" location="'A-36'!A1" tooltip="Zu Tabellenblatt wechseln" display="'A-36"/>
    <hyperlink ref="B88" location="'A-37'!A1" tooltip="Zu Tabellenblatt wechseln" display="'A-37"/>
    <hyperlink ref="B89" location="'A-38'!A1" tooltip="Zu Tabellenblatt wechseln" display="'A-38"/>
    <hyperlink ref="B90" location="'A-39'!A1" tooltip="Zu Tabellenblatt wechseln" display="'A-39"/>
    <hyperlink ref="B91" location="'A-40'!A1" tooltip="Zu Tabellenblatt wechseln" display="'A-40"/>
    <hyperlink ref="B92" location="'A-41'!A1" tooltip="Zu Tabellenblatt wechseln" display="'A-41"/>
    <hyperlink ref="B93" location="'A-42'!A1" tooltip="Zu Tabellenblatt wechseln" display="'A-42"/>
    <hyperlink ref="B94" location="'A-43'!A1" tooltip="Zu Tabellenblatt wechseln" display="'A-43"/>
    <hyperlink ref="B95" location="'A-44'!A1" tooltip="Zu Tabellenblatt wechseln" display="'A-44"/>
    <hyperlink ref="B96" location="'A-45'!A1" tooltip="Zu Tabellenblatt wechseln" display="'A-45"/>
    <hyperlink ref="B97" location="'A-46'!A1" tooltip="Zu Tabellenblatt wechseln" display="'A-46"/>
    <hyperlink ref="B98" location="'A-47'!A1" tooltip="Zu Tabellenblatt wechseln" display="'A-47"/>
    <hyperlink ref="B99" location="'A-48'!A1" tooltip="Zu Tabellenblatt wechseln" display="'A-48"/>
    <hyperlink ref="B100" location="'A-49'!A1" tooltip="Zu Tabellenblatt wechseln" display="'A-49"/>
    <hyperlink ref="B101" location="'A-50'!A1" tooltip="Zu Tabellenblatt wechseln" display="'A-50"/>
    <hyperlink ref="B102" location="'A-51'!A1" tooltip="Zu Tabellenblatt wechseln" display="'A-51"/>
    <hyperlink ref="B103" location="'A-52'!A1" tooltip="Zu Tabellenblatt wechseln" display="'A-52"/>
    <hyperlink ref="B104" location="'A-53'!A1" tooltip="Zu Tabellenblatt wechseln" display="'A-53"/>
    <hyperlink ref="B105" location="'A-54'!A1" tooltip="Zu Tabellenblatt wechseln" display="'A-54"/>
    <hyperlink ref="B106" location="'A-55'!A1" tooltip="Zu Tabellenblatt wechseln" display="'A-55"/>
    <hyperlink ref="B107" location="'A-55a'!A1" tooltip="Zu Tabellenblatt wechseln" display="'A-55a"/>
    <hyperlink ref="B108" location="'A-56'!A1" tooltip="Zu Tabellenblatt wechseln" display="'A-56"/>
    <hyperlink ref="B109" location="'A58'!A1" tooltip="Zu Tabellenblatt wechseln" display="'A58"/>
    <hyperlink ref="B110" location="'A-59'!A1" tooltip="Zu Tabellenblatt wechseln" display="'A-59"/>
    <hyperlink ref="B111" location="'A-60'!A1" tooltip="Zu Tabellenblatt wechseln" display="'A-60"/>
    <hyperlink ref="B112" location="'A-61'!A1" tooltip="Zu Tabellenblatt wechseln" display="'A-61"/>
    <hyperlink ref="B113" location="'A-62'!A1" tooltip="Zu Tabellenblatt wechseln" display="'A-62"/>
    <hyperlink ref="B114" location="'A-63'!A1" tooltip="Zu Tabellenblatt wechseln" display="'A-63"/>
    <hyperlink ref="B115" location="'A-64'!A1" tooltip="Zu Tabellenblatt wechseln" display="'A-64"/>
    <hyperlink ref="B116" location="'A-65'!A1" tooltip="Zu Tabellenblatt wechseln" display="'A-65"/>
    <hyperlink ref="B117" location="'A-66'!A1" tooltip="Zu Tabellenblatt wechseln" display="'A-66"/>
    <hyperlink ref="B118" location="'A-67'!A1" tooltip="Zu Tabellenblatt wechseln" display="'A-67"/>
    <hyperlink ref="B119" location="'A-68'!A1" tooltip="Zu Tabellenblatt wechseln" display="'A-68"/>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6"/>
  <dimension ref="B1:I34"/>
  <sheetViews>
    <sheetView zoomScaleNormal="100" workbookViewId="0"/>
  </sheetViews>
  <sheetFormatPr baseColWidth="10" defaultRowHeight="12.75"/>
  <cols>
    <col min="1" max="1" width="11.42578125" style="67"/>
    <col min="2" max="2" width="24.85546875" style="67" customWidth="1"/>
    <col min="3" max="257" width="11.42578125" style="67"/>
    <col min="258" max="258" width="24.85546875" style="67" customWidth="1"/>
    <col min="259" max="513" width="11.42578125" style="67"/>
    <col min="514" max="514" width="24.85546875" style="67" customWidth="1"/>
    <col min="515" max="769" width="11.42578125" style="67"/>
    <col min="770" max="770" width="24.85546875" style="67" customWidth="1"/>
    <col min="771" max="1025" width="11.42578125" style="67"/>
    <col min="1026" max="1026" width="24.85546875" style="67" customWidth="1"/>
    <col min="1027" max="1281" width="11.42578125" style="67"/>
    <col min="1282" max="1282" width="24.85546875" style="67" customWidth="1"/>
    <col min="1283" max="1537" width="11.42578125" style="67"/>
    <col min="1538" max="1538" width="24.85546875" style="67" customWidth="1"/>
    <col min="1539" max="1793" width="11.42578125" style="67"/>
    <col min="1794" max="1794" width="24.85546875" style="67" customWidth="1"/>
    <col min="1795" max="2049" width="11.42578125" style="67"/>
    <col min="2050" max="2050" width="24.85546875" style="67" customWidth="1"/>
    <col min="2051" max="2305" width="11.42578125" style="67"/>
    <col min="2306" max="2306" width="24.85546875" style="67" customWidth="1"/>
    <col min="2307" max="2561" width="11.42578125" style="67"/>
    <col min="2562" max="2562" width="24.85546875" style="67" customWidth="1"/>
    <col min="2563" max="2817" width="11.42578125" style="67"/>
    <col min="2818" max="2818" width="24.85546875" style="67" customWidth="1"/>
    <col min="2819" max="3073" width="11.42578125" style="67"/>
    <col min="3074" max="3074" width="24.85546875" style="67" customWidth="1"/>
    <col min="3075" max="3329" width="11.42578125" style="67"/>
    <col min="3330" max="3330" width="24.85546875" style="67" customWidth="1"/>
    <col min="3331" max="3585" width="11.42578125" style="67"/>
    <col min="3586" max="3586" width="24.85546875" style="67" customWidth="1"/>
    <col min="3587" max="3841" width="11.42578125" style="67"/>
    <col min="3842" max="3842" width="24.85546875" style="67" customWidth="1"/>
    <col min="3843" max="4097" width="11.42578125" style="67"/>
    <col min="4098" max="4098" width="24.85546875" style="67" customWidth="1"/>
    <col min="4099" max="4353" width="11.42578125" style="67"/>
    <col min="4354" max="4354" width="24.85546875" style="67" customWidth="1"/>
    <col min="4355" max="4609" width="11.42578125" style="67"/>
    <col min="4610" max="4610" width="24.85546875" style="67" customWidth="1"/>
    <col min="4611" max="4865" width="11.42578125" style="67"/>
    <col min="4866" max="4866" width="24.85546875" style="67" customWidth="1"/>
    <col min="4867" max="5121" width="11.42578125" style="67"/>
    <col min="5122" max="5122" width="24.85546875" style="67" customWidth="1"/>
    <col min="5123" max="5377" width="11.42578125" style="67"/>
    <col min="5378" max="5378" width="24.85546875" style="67" customWidth="1"/>
    <col min="5379" max="5633" width="11.42578125" style="67"/>
    <col min="5634" max="5634" width="24.85546875" style="67" customWidth="1"/>
    <col min="5635" max="5889" width="11.42578125" style="67"/>
    <col min="5890" max="5890" width="24.85546875" style="67" customWidth="1"/>
    <col min="5891" max="6145" width="11.42578125" style="67"/>
    <col min="6146" max="6146" width="24.85546875" style="67" customWidth="1"/>
    <col min="6147" max="6401" width="11.42578125" style="67"/>
    <col min="6402" max="6402" width="24.85546875" style="67" customWidth="1"/>
    <col min="6403" max="6657" width="11.42578125" style="67"/>
    <col min="6658" max="6658" width="24.85546875" style="67" customWidth="1"/>
    <col min="6659" max="6913" width="11.42578125" style="67"/>
    <col min="6914" max="6914" width="24.85546875" style="67" customWidth="1"/>
    <col min="6915" max="7169" width="11.42578125" style="67"/>
    <col min="7170" max="7170" width="24.85546875" style="67" customWidth="1"/>
    <col min="7171" max="7425" width="11.42578125" style="67"/>
    <col min="7426" max="7426" width="24.85546875" style="67" customWidth="1"/>
    <col min="7427" max="7681" width="11.42578125" style="67"/>
    <col min="7682" max="7682" width="24.85546875" style="67" customWidth="1"/>
    <col min="7683" max="7937" width="11.42578125" style="67"/>
    <col min="7938" max="7938" width="24.85546875" style="67" customWidth="1"/>
    <col min="7939" max="8193" width="11.42578125" style="67"/>
    <col min="8194" max="8194" width="24.85546875" style="67" customWidth="1"/>
    <col min="8195" max="8449" width="11.42578125" style="67"/>
    <col min="8450" max="8450" width="24.85546875" style="67" customWidth="1"/>
    <col min="8451" max="8705" width="11.42578125" style="67"/>
    <col min="8706" max="8706" width="24.85546875" style="67" customWidth="1"/>
    <col min="8707" max="8961" width="11.42578125" style="67"/>
    <col min="8962" max="8962" width="24.85546875" style="67" customWidth="1"/>
    <col min="8963" max="9217" width="11.42578125" style="67"/>
    <col min="9218" max="9218" width="24.85546875" style="67" customWidth="1"/>
    <col min="9219" max="9473" width="11.42578125" style="67"/>
    <col min="9474" max="9474" width="24.85546875" style="67" customWidth="1"/>
    <col min="9475" max="9729" width="11.42578125" style="67"/>
    <col min="9730" max="9730" width="24.85546875" style="67" customWidth="1"/>
    <col min="9731" max="9985" width="11.42578125" style="67"/>
    <col min="9986" max="9986" width="24.85546875" style="67" customWidth="1"/>
    <col min="9987" max="10241" width="11.42578125" style="67"/>
    <col min="10242" max="10242" width="24.85546875" style="67" customWidth="1"/>
    <col min="10243" max="10497" width="11.42578125" style="67"/>
    <col min="10498" max="10498" width="24.85546875" style="67" customWidth="1"/>
    <col min="10499" max="10753" width="11.42578125" style="67"/>
    <col min="10754" max="10754" width="24.85546875" style="67" customWidth="1"/>
    <col min="10755" max="11009" width="11.42578125" style="67"/>
    <col min="11010" max="11010" width="24.85546875" style="67" customWidth="1"/>
    <col min="11011" max="11265" width="11.42578125" style="67"/>
    <col min="11266" max="11266" width="24.85546875" style="67" customWidth="1"/>
    <col min="11267" max="11521" width="11.42578125" style="67"/>
    <col min="11522" max="11522" width="24.85546875" style="67" customWidth="1"/>
    <col min="11523" max="11777" width="11.42578125" style="67"/>
    <col min="11778" max="11778" width="24.85546875" style="67" customWidth="1"/>
    <col min="11779" max="12033" width="11.42578125" style="67"/>
    <col min="12034" max="12034" width="24.85546875" style="67" customWidth="1"/>
    <col min="12035" max="12289" width="11.42578125" style="67"/>
    <col min="12290" max="12290" width="24.85546875" style="67" customWidth="1"/>
    <col min="12291" max="12545" width="11.42578125" style="67"/>
    <col min="12546" max="12546" width="24.85546875" style="67" customWidth="1"/>
    <col min="12547" max="12801" width="11.42578125" style="67"/>
    <col min="12802" max="12802" width="24.85546875" style="67" customWidth="1"/>
    <col min="12803" max="13057" width="11.42578125" style="67"/>
    <col min="13058" max="13058" width="24.85546875" style="67" customWidth="1"/>
    <col min="13059" max="13313" width="11.42578125" style="67"/>
    <col min="13314" max="13314" width="24.85546875" style="67" customWidth="1"/>
    <col min="13315" max="13569" width="11.42578125" style="67"/>
    <col min="13570" max="13570" width="24.85546875" style="67" customWidth="1"/>
    <col min="13571" max="13825" width="11.42578125" style="67"/>
    <col min="13826" max="13826" width="24.85546875" style="67" customWidth="1"/>
    <col min="13827" max="14081" width="11.42578125" style="67"/>
    <col min="14082" max="14082" width="24.85546875" style="67" customWidth="1"/>
    <col min="14083" max="14337" width="11.42578125" style="67"/>
    <col min="14338" max="14338" width="24.85546875" style="67" customWidth="1"/>
    <col min="14339" max="14593" width="11.42578125" style="67"/>
    <col min="14594" max="14594" width="24.85546875" style="67" customWidth="1"/>
    <col min="14595" max="14849" width="11.42578125" style="67"/>
    <col min="14850" max="14850" width="24.85546875" style="67" customWidth="1"/>
    <col min="14851" max="15105" width="11.42578125" style="67"/>
    <col min="15106" max="15106" width="24.85546875" style="67" customWidth="1"/>
    <col min="15107" max="15361" width="11.42578125" style="67"/>
    <col min="15362" max="15362" width="24.85546875" style="67" customWidth="1"/>
    <col min="15363" max="15617" width="11.42578125" style="67"/>
    <col min="15618" max="15618" width="24.85546875" style="67" customWidth="1"/>
    <col min="15619" max="15873" width="11.42578125" style="67"/>
    <col min="15874" max="15874" width="24.85546875" style="67" customWidth="1"/>
    <col min="15875" max="16129" width="11.42578125" style="67"/>
    <col min="16130" max="16130" width="24.85546875" style="67" customWidth="1"/>
    <col min="16131" max="16384" width="11.42578125" style="67"/>
  </cols>
  <sheetData>
    <row r="1" spans="2:9">
      <c r="B1" s="66" t="s">
        <v>208</v>
      </c>
    </row>
    <row r="2" spans="2:9">
      <c r="B2" s="1589" t="s">
        <v>4490</v>
      </c>
    </row>
    <row r="4" spans="2:9" hidden="1"/>
    <row r="5" spans="2:9" hidden="1"/>
    <row r="6" spans="2:9" hidden="1">
      <c r="B6" s="67" t="s">
        <v>209</v>
      </c>
    </row>
    <row r="7" spans="2:9" hidden="1">
      <c r="B7" s="67" t="s">
        <v>210</v>
      </c>
    </row>
    <row r="8" spans="2:9" hidden="1"/>
    <row r="9" spans="2:9" hidden="1">
      <c r="C9" s="67">
        <f>PI()</f>
        <v>3.1415926535897931</v>
      </c>
    </row>
    <row r="10" spans="2:9" hidden="1"/>
    <row r="11" spans="2:9" hidden="1"/>
    <row r="12" spans="2:9" hidden="1"/>
    <row r="13" spans="2:9" hidden="1"/>
    <row r="14" spans="2:9" hidden="1">
      <c r="B14" s="67" t="s">
        <v>211</v>
      </c>
      <c r="C14" s="67">
        <v>20</v>
      </c>
      <c r="D14" s="67" t="s">
        <v>212</v>
      </c>
      <c r="E14" s="67">
        <f>SQRT(E15/PI())</f>
        <v>14.142135623730951</v>
      </c>
      <c r="G14" s="67" t="s">
        <v>213</v>
      </c>
      <c r="I14" s="67" t="s">
        <v>213</v>
      </c>
    </row>
    <row r="15" spans="2:9" hidden="1">
      <c r="B15" s="67" t="s">
        <v>214</v>
      </c>
      <c r="C15" s="67">
        <f>PI()*C14^2</f>
        <v>1256.6370614359173</v>
      </c>
      <c r="D15" s="67" t="s">
        <v>215</v>
      </c>
      <c r="E15" s="67">
        <f>C15/2</f>
        <v>628.31853071795865</v>
      </c>
      <c r="G15" s="67">
        <f>E15/2</f>
        <v>314.15926535897933</v>
      </c>
      <c r="I15" s="67">
        <f>G15/2</f>
        <v>157.07963267948966</v>
      </c>
    </row>
    <row r="16" spans="2:9" hidden="1"/>
    <row r="17" spans="2:9" hidden="1">
      <c r="B17" s="67" t="s">
        <v>216</v>
      </c>
    </row>
    <row r="18" spans="2:9" hidden="1">
      <c r="B18" s="67" t="s">
        <v>217</v>
      </c>
    </row>
    <row r="19" spans="2:9" hidden="1">
      <c r="B19" s="67" t="s">
        <v>218</v>
      </c>
    </row>
    <row r="20" spans="2:9" hidden="1"/>
    <row r="21" spans="2:9" hidden="1"/>
    <row r="22" spans="2:9">
      <c r="B22" s="68" t="s">
        <v>90</v>
      </c>
      <c r="C22" s="69">
        <v>2</v>
      </c>
    </row>
    <row r="24" spans="2:9">
      <c r="C24" s="70" t="s">
        <v>215</v>
      </c>
      <c r="D24" s="70" t="s">
        <v>215</v>
      </c>
      <c r="E24" s="70" t="s">
        <v>215</v>
      </c>
      <c r="F24" s="70" t="s">
        <v>215</v>
      </c>
      <c r="G24" s="70" t="s">
        <v>215</v>
      </c>
      <c r="H24" s="70" t="s">
        <v>215</v>
      </c>
      <c r="I24" s="70" t="s">
        <v>215</v>
      </c>
    </row>
    <row r="25" spans="2:9">
      <c r="B25" s="67" t="s">
        <v>219</v>
      </c>
      <c r="C25" s="71">
        <v>1000</v>
      </c>
      <c r="D25" s="72">
        <f>C25*$C22</f>
        <v>2000</v>
      </c>
      <c r="E25" s="72">
        <f t="shared" ref="E25:I25" si="0">D25*$C22</f>
        <v>4000</v>
      </c>
      <c r="F25" s="72">
        <f t="shared" si="0"/>
        <v>8000</v>
      </c>
      <c r="G25" s="72">
        <f t="shared" si="0"/>
        <v>16000</v>
      </c>
      <c r="H25" s="72">
        <f t="shared" si="0"/>
        <v>32000</v>
      </c>
      <c r="I25" s="72">
        <f t="shared" si="0"/>
        <v>64000</v>
      </c>
    </row>
    <row r="26" spans="2:9">
      <c r="C26" s="70"/>
      <c r="D26" s="70"/>
      <c r="E26" s="70"/>
      <c r="F26" s="70"/>
      <c r="G26" s="70"/>
      <c r="H26" s="70"/>
      <c r="I26" s="70"/>
    </row>
    <row r="27" spans="2:9">
      <c r="B27" s="67" t="s">
        <v>211</v>
      </c>
      <c r="C27" s="70">
        <f>SQRT(C25/PI())</f>
        <v>17.841241161527712</v>
      </c>
      <c r="D27" s="70">
        <f t="shared" ref="D27:I27" si="1">SQRT(D25/PI())</f>
        <v>25.231325220201601</v>
      </c>
      <c r="E27" s="70">
        <f t="shared" si="1"/>
        <v>35.682482323055424</v>
      </c>
      <c r="F27" s="70">
        <f t="shared" si="1"/>
        <v>50.462650440403202</v>
      </c>
      <c r="G27" s="70">
        <f t="shared" si="1"/>
        <v>71.364964646110849</v>
      </c>
      <c r="H27" s="70">
        <f t="shared" si="1"/>
        <v>100.9253008808064</v>
      </c>
      <c r="I27" s="70">
        <f t="shared" si="1"/>
        <v>142.7299292922217</v>
      </c>
    </row>
    <row r="28" spans="2:9">
      <c r="C28" s="70" t="s">
        <v>212</v>
      </c>
      <c r="D28" s="70" t="s">
        <v>212</v>
      </c>
      <c r="E28" s="70" t="s">
        <v>212</v>
      </c>
      <c r="F28" s="70" t="s">
        <v>212</v>
      </c>
      <c r="G28" s="70" t="s">
        <v>212</v>
      </c>
      <c r="H28" s="70" t="s">
        <v>212</v>
      </c>
      <c r="I28" s="70" t="s">
        <v>212</v>
      </c>
    </row>
    <row r="29" spans="2:9">
      <c r="C29" s="70"/>
      <c r="D29" s="70"/>
      <c r="E29" s="70"/>
      <c r="F29" s="70"/>
      <c r="G29" s="70"/>
      <c r="H29" s="70"/>
      <c r="I29" s="70"/>
    </row>
    <row r="30" spans="2:9">
      <c r="B30" s="68" t="s">
        <v>220</v>
      </c>
      <c r="C30" s="70"/>
      <c r="D30" s="70">
        <f>D25/C25</f>
        <v>2</v>
      </c>
      <c r="E30" s="70">
        <f t="shared" ref="E30:I30" si="2">E25/D25</f>
        <v>2</v>
      </c>
      <c r="F30" s="70">
        <f t="shared" si="2"/>
        <v>2</v>
      </c>
      <c r="G30" s="70">
        <f t="shared" si="2"/>
        <v>2</v>
      </c>
      <c r="H30" s="70">
        <f t="shared" si="2"/>
        <v>2</v>
      </c>
      <c r="I30" s="70">
        <f t="shared" si="2"/>
        <v>2</v>
      </c>
    </row>
    <row r="31" spans="2:9">
      <c r="C31" s="70"/>
      <c r="D31" s="70"/>
      <c r="E31" s="70"/>
      <c r="F31" s="70"/>
      <c r="G31" s="70"/>
      <c r="H31" s="70"/>
      <c r="I31" s="70"/>
    </row>
    <row r="32" spans="2:9">
      <c r="B32" s="68" t="s">
        <v>221</v>
      </c>
      <c r="C32" s="70"/>
      <c r="D32" s="1590">
        <f>D27/C27</f>
        <v>1.4142135623730949</v>
      </c>
      <c r="E32" s="1590">
        <f t="shared" ref="E32:I32" si="3">E27/D27</f>
        <v>1.4142135623730951</v>
      </c>
      <c r="F32" s="1590">
        <f t="shared" si="3"/>
        <v>1.4142135623730949</v>
      </c>
      <c r="G32" s="1590">
        <f t="shared" si="3"/>
        <v>1.4142135623730951</v>
      </c>
      <c r="H32" s="1590">
        <f t="shared" si="3"/>
        <v>1.4142135623730949</v>
      </c>
      <c r="I32" s="1590">
        <f t="shared" si="3"/>
        <v>1.4142135623730951</v>
      </c>
    </row>
    <row r="34" spans="2:9">
      <c r="B34" s="1591" t="s">
        <v>4491</v>
      </c>
      <c r="C34" s="70">
        <f>2*PI()*C27</f>
        <v>112.09982432795857</v>
      </c>
      <c r="D34" s="70">
        <f t="shared" ref="D34:I34" si="4">2*PI()*D27</f>
        <v>158.53309190424045</v>
      </c>
      <c r="E34" s="70">
        <f t="shared" si="4"/>
        <v>224.19964865591714</v>
      </c>
      <c r="F34" s="70">
        <f t="shared" si="4"/>
        <v>317.0661838084809</v>
      </c>
      <c r="G34" s="70">
        <f t="shared" si="4"/>
        <v>448.39929731183429</v>
      </c>
      <c r="H34" s="70">
        <f t="shared" si="4"/>
        <v>634.1323676169618</v>
      </c>
      <c r="I34" s="70">
        <f t="shared" si="4"/>
        <v>896.79859462366858</v>
      </c>
    </row>
  </sheetData>
  <sheetProtection selectLockedCells="1"/>
  <pageMargins left="0.78740157499999996" right="0.78740157499999996" top="0.984251969" bottom="0.984251969" header="0.4921259845" footer="0.4921259845"/>
  <pageSetup paperSize="9" orientation="portrait"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
  <sheetViews>
    <sheetView workbookViewId="0">
      <selection activeCell="I35" sqref="I35"/>
    </sheetView>
  </sheetViews>
  <sheetFormatPr baseColWidth="10" defaultColWidth="11.42578125" defaultRowHeight="12.75"/>
  <cols>
    <col min="1" max="16384" width="11.42578125" style="831"/>
  </cols>
  <sheetData>
    <row r="1" spans="1:8" ht="13.5" thickBot="1"/>
    <row r="2" spans="1:8">
      <c r="A2" s="963" t="s">
        <v>4375</v>
      </c>
      <c r="B2" s="1381" t="s">
        <v>4376</v>
      </c>
      <c r="C2" s="1382"/>
      <c r="D2" s="1382"/>
      <c r="E2" s="1382"/>
      <c r="F2" s="1382"/>
      <c r="G2" s="1382"/>
      <c r="H2" s="1383"/>
    </row>
    <row r="3" spans="1:8" ht="13.5" thickBot="1">
      <c r="B3" s="1386" t="s">
        <v>4377</v>
      </c>
      <c r="C3" s="1387"/>
      <c r="D3" s="1387"/>
      <c r="E3" s="1387"/>
      <c r="F3" s="1387"/>
      <c r="G3" s="1387"/>
      <c r="H3" s="1388"/>
    </row>
    <row r="5" spans="1:8">
      <c r="B5" s="818"/>
      <c r="C5" s="831" t="s">
        <v>3977</v>
      </c>
    </row>
    <row r="6" spans="1:8" ht="13.5" thickBot="1"/>
    <row r="7" spans="1:8">
      <c r="B7" s="1389" t="s">
        <v>3978</v>
      </c>
      <c r="C7" s="1390"/>
      <c r="D7" s="1390"/>
      <c r="E7" s="1391"/>
    </row>
    <row r="8" spans="1:8">
      <c r="B8" s="1392" t="s">
        <v>4357</v>
      </c>
      <c r="C8" s="1096"/>
      <c r="D8" s="1393">
        <v>1</v>
      </c>
      <c r="E8" s="1394" t="s">
        <v>212</v>
      </c>
    </row>
    <row r="9" spans="1:8">
      <c r="B9" s="1392" t="s">
        <v>3269</v>
      </c>
      <c r="C9" s="1096"/>
      <c r="D9" s="1393">
        <v>0.7</v>
      </c>
      <c r="E9" s="1394" t="s">
        <v>212</v>
      </c>
    </row>
    <row r="10" spans="1:8">
      <c r="B10" s="1392" t="s">
        <v>318</v>
      </c>
      <c r="C10" s="1096"/>
      <c r="D10" s="1393">
        <v>12.7</v>
      </c>
      <c r="E10" s="1394" t="s">
        <v>212</v>
      </c>
    </row>
    <row r="11" spans="1:8">
      <c r="B11" s="1392" t="s">
        <v>317</v>
      </c>
      <c r="C11" s="1096"/>
      <c r="D11" s="1393">
        <v>6.9</v>
      </c>
      <c r="E11" s="1394" t="s">
        <v>212</v>
      </c>
    </row>
    <row r="12" spans="1:8" ht="13.5" thickBot="1">
      <c r="B12" s="1395" t="s">
        <v>1773</v>
      </c>
      <c r="C12" s="1396"/>
      <c r="D12" s="1397">
        <v>16.5</v>
      </c>
      <c r="E12" s="1398" t="s">
        <v>212</v>
      </c>
    </row>
    <row r="13" spans="1:8" ht="13.5" thickBot="1"/>
    <row r="14" spans="1:8">
      <c r="B14" s="1389" t="s">
        <v>2486</v>
      </c>
      <c r="C14" s="1390"/>
      <c r="D14" s="1399">
        <v>7.874015748031496E-2</v>
      </c>
      <c r="E14" s="1391"/>
      <c r="F14" s="831" t="s">
        <v>4358</v>
      </c>
    </row>
    <row r="15" spans="1:8" ht="13.5" thickBot="1">
      <c r="B15" s="1395" t="s">
        <v>2663</v>
      </c>
      <c r="C15" s="1396"/>
      <c r="D15" s="1548">
        <v>13.7</v>
      </c>
      <c r="E15" s="1398"/>
      <c r="F15" s="831" t="s">
        <v>4299</v>
      </c>
    </row>
    <row r="16" spans="1:8" ht="13.5" thickBot="1"/>
    <row r="17" spans="2:6" ht="13.5" thickBot="1">
      <c r="B17" s="1405" t="s">
        <v>1774</v>
      </c>
      <c r="C17" s="1406"/>
      <c r="D17" s="1445">
        <v>17.7992125984252</v>
      </c>
      <c r="E17" s="1408" t="s">
        <v>212</v>
      </c>
      <c r="F17" s="831" t="s">
        <v>4318</v>
      </c>
    </row>
    <row r="18" spans="2:6" ht="13.5" thickBot="1"/>
    <row r="19" spans="2:6" ht="13.5" thickBot="1">
      <c r="B19" s="1405" t="s">
        <v>1959</v>
      </c>
      <c r="C19" s="1406"/>
      <c r="D19" s="1455">
        <v>226.05</v>
      </c>
      <c r="E19" s="1408" t="s">
        <v>212</v>
      </c>
      <c r="F19" s="831" t="s">
        <v>4329</v>
      </c>
    </row>
  </sheetData>
  <pageMargins left="0.78740157499999996" right="0.78740157499999996" top="0.984251969" bottom="0.984251969" header="0.4921259845" footer="0.4921259845"/>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1"/>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4378</v>
      </c>
      <c r="B2" s="1381" t="s">
        <v>4379</v>
      </c>
      <c r="C2" s="1382"/>
      <c r="D2" s="1382"/>
      <c r="E2" s="1382"/>
      <c r="F2" s="1382"/>
      <c r="G2" s="1382"/>
      <c r="H2" s="1382"/>
      <c r="I2" s="1383"/>
    </row>
    <row r="3" spans="1:9">
      <c r="B3" s="1384" t="s">
        <v>4380</v>
      </c>
      <c r="C3" s="829"/>
      <c r="D3" s="829"/>
      <c r="E3" s="829"/>
      <c r="F3" s="829"/>
      <c r="G3" s="829"/>
      <c r="H3" s="829"/>
      <c r="I3" s="1385"/>
    </row>
    <row r="4" spans="1:9">
      <c r="B4" s="1384" t="s">
        <v>4381</v>
      </c>
      <c r="C4" s="829"/>
      <c r="D4" s="829"/>
      <c r="E4" s="829"/>
      <c r="F4" s="829"/>
      <c r="G4" s="829"/>
      <c r="H4" s="829"/>
      <c r="I4" s="1385"/>
    </row>
    <row r="5" spans="1:9" ht="13.5" thickBot="1">
      <c r="B5" s="1386" t="s">
        <v>4382</v>
      </c>
      <c r="C5" s="1387"/>
      <c r="D5" s="1387"/>
      <c r="E5" s="1387"/>
      <c r="F5" s="1387"/>
      <c r="G5" s="1387"/>
      <c r="H5" s="1387"/>
      <c r="I5" s="1388"/>
    </row>
    <row r="7" spans="1:9">
      <c r="B7" s="818"/>
      <c r="C7" s="831" t="s">
        <v>3977</v>
      </c>
    </row>
    <row r="8" spans="1:9" ht="13.5" thickBot="1"/>
    <row r="9" spans="1:9">
      <c r="B9" s="1389" t="s">
        <v>3978</v>
      </c>
      <c r="C9" s="1390"/>
      <c r="D9" s="1390"/>
      <c r="E9" s="1391"/>
    </row>
    <row r="10" spans="1:9">
      <c r="B10" s="1392" t="s">
        <v>4357</v>
      </c>
      <c r="C10" s="1096"/>
      <c r="D10" s="1393">
        <v>3.6</v>
      </c>
      <c r="E10" s="1394" t="s">
        <v>212</v>
      </c>
    </row>
    <row r="11" spans="1:9">
      <c r="B11" s="1392" t="s">
        <v>3269</v>
      </c>
      <c r="C11" s="1096"/>
      <c r="D11" s="1393">
        <v>2.4</v>
      </c>
      <c r="E11" s="1394" t="s">
        <v>212</v>
      </c>
    </row>
    <row r="12" spans="1:9">
      <c r="B12" s="1392" t="s">
        <v>318</v>
      </c>
      <c r="C12" s="1096"/>
      <c r="D12" s="1393">
        <v>24</v>
      </c>
      <c r="E12" s="1394" t="s">
        <v>212</v>
      </c>
    </row>
    <row r="13" spans="1:9">
      <c r="B13" s="1392" t="s">
        <v>317</v>
      </c>
      <c r="C13" s="1096"/>
      <c r="D13" s="1393">
        <v>18</v>
      </c>
      <c r="E13" s="1394" t="s">
        <v>212</v>
      </c>
    </row>
    <row r="14" spans="1:9" ht="13.5" thickBot="1">
      <c r="B14" s="1395" t="s">
        <v>1773</v>
      </c>
      <c r="C14" s="1396"/>
      <c r="D14" s="1397">
        <v>16.5</v>
      </c>
      <c r="E14" s="1398" t="s">
        <v>212</v>
      </c>
    </row>
    <row r="15" spans="1:9" ht="13.5" thickBot="1"/>
    <row r="16" spans="1:9">
      <c r="B16" s="1389" t="s">
        <v>2486</v>
      </c>
      <c r="C16" s="1390"/>
      <c r="D16" s="1444">
        <v>0.13333333333333333</v>
      </c>
      <c r="E16" s="1391"/>
      <c r="F16" s="831" t="s">
        <v>4383</v>
      </c>
    </row>
    <row r="17" spans="2:6" ht="13.5" thickBot="1">
      <c r="B17" s="1470" t="s">
        <v>2663</v>
      </c>
      <c r="C17" s="1396"/>
      <c r="D17" s="1510">
        <v>8.5</v>
      </c>
      <c r="E17" s="1398"/>
      <c r="F17" s="831" t="s">
        <v>4384</v>
      </c>
    </row>
    <row r="18" spans="2:6" ht="13.5" thickBot="1"/>
    <row r="19" spans="2:6" ht="13.5" thickBot="1">
      <c r="B19" s="1405" t="s">
        <v>526</v>
      </c>
      <c r="C19" s="1406"/>
      <c r="D19" s="1546">
        <v>0.48</v>
      </c>
      <c r="E19" s="1408" t="s">
        <v>212</v>
      </c>
      <c r="F19" s="831" t="s">
        <v>4385</v>
      </c>
    </row>
    <row r="20" spans="2:6" ht="13.5" thickBot="1"/>
    <row r="21" spans="2:6" ht="13.5" thickBot="1">
      <c r="B21" s="1405" t="s">
        <v>1959</v>
      </c>
      <c r="C21" s="1406"/>
      <c r="D21" s="1546">
        <v>140.25</v>
      </c>
      <c r="E21" s="1408" t="s">
        <v>212</v>
      </c>
      <c r="F21" s="831" t="s">
        <v>4329</v>
      </c>
    </row>
  </sheetData>
  <pageMargins left="0.78740157499999996" right="0.78740157499999996" top="0.984251969" bottom="0.984251969" header="0.4921259845" footer="0.4921259845"/>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E31"/>
  <sheetViews>
    <sheetView workbookViewId="0">
      <selection activeCell="J26" sqref="J26"/>
    </sheetView>
  </sheetViews>
  <sheetFormatPr baseColWidth="10" defaultRowHeight="12.75"/>
  <cols>
    <col min="1" max="1" width="11.42578125" style="816"/>
    <col min="2" max="2" width="22.140625" style="816" customWidth="1"/>
    <col min="3" max="3" width="8" style="816" customWidth="1"/>
    <col min="4" max="257" width="11.42578125" style="816"/>
    <col min="258" max="258" width="22.140625" style="816" customWidth="1"/>
    <col min="259" max="259" width="8" style="816" customWidth="1"/>
    <col min="260" max="513" width="11.42578125" style="816"/>
    <col min="514" max="514" width="22.140625" style="816" customWidth="1"/>
    <col min="515" max="515" width="8" style="816" customWidth="1"/>
    <col min="516" max="769" width="11.42578125" style="816"/>
    <col min="770" max="770" width="22.140625" style="816" customWidth="1"/>
    <col min="771" max="771" width="8" style="816" customWidth="1"/>
    <col min="772" max="1025" width="11.42578125" style="816"/>
    <col min="1026" max="1026" width="22.140625" style="816" customWidth="1"/>
    <col min="1027" max="1027" width="8" style="816" customWidth="1"/>
    <col min="1028" max="1281" width="11.42578125" style="816"/>
    <col min="1282" max="1282" width="22.140625" style="816" customWidth="1"/>
    <col min="1283" max="1283" width="8" style="816" customWidth="1"/>
    <col min="1284" max="1537" width="11.42578125" style="816"/>
    <col min="1538" max="1538" width="22.140625" style="816" customWidth="1"/>
    <col min="1539" max="1539" width="8" style="816" customWidth="1"/>
    <col min="1540" max="1793" width="11.42578125" style="816"/>
    <col min="1794" max="1794" width="22.140625" style="816" customWidth="1"/>
    <col min="1795" max="1795" width="8" style="816" customWidth="1"/>
    <col min="1796" max="2049" width="11.42578125" style="816"/>
    <col min="2050" max="2050" width="22.140625" style="816" customWidth="1"/>
    <col min="2051" max="2051" width="8" style="816" customWidth="1"/>
    <col min="2052" max="2305" width="11.42578125" style="816"/>
    <col min="2306" max="2306" width="22.140625" style="816" customWidth="1"/>
    <col min="2307" max="2307" width="8" style="816" customWidth="1"/>
    <col min="2308" max="2561" width="11.42578125" style="816"/>
    <col min="2562" max="2562" width="22.140625" style="816" customWidth="1"/>
    <col min="2563" max="2563" width="8" style="816" customWidth="1"/>
    <col min="2564" max="2817" width="11.42578125" style="816"/>
    <col min="2818" max="2818" width="22.140625" style="816" customWidth="1"/>
    <col min="2819" max="2819" width="8" style="816" customWidth="1"/>
    <col min="2820" max="3073" width="11.42578125" style="816"/>
    <col min="3074" max="3074" width="22.140625" style="816" customWidth="1"/>
    <col min="3075" max="3075" width="8" style="816" customWidth="1"/>
    <col min="3076" max="3329" width="11.42578125" style="816"/>
    <col min="3330" max="3330" width="22.140625" style="816" customWidth="1"/>
    <col min="3331" max="3331" width="8" style="816" customWidth="1"/>
    <col min="3332" max="3585" width="11.42578125" style="816"/>
    <col min="3586" max="3586" width="22.140625" style="816" customWidth="1"/>
    <col min="3587" max="3587" width="8" style="816" customWidth="1"/>
    <col min="3588" max="3841" width="11.42578125" style="816"/>
    <col min="3842" max="3842" width="22.140625" style="816" customWidth="1"/>
    <col min="3843" max="3843" width="8" style="816" customWidth="1"/>
    <col min="3844" max="4097" width="11.42578125" style="816"/>
    <col min="4098" max="4098" width="22.140625" style="816" customWidth="1"/>
    <col min="4099" max="4099" width="8" style="816" customWidth="1"/>
    <col min="4100" max="4353" width="11.42578125" style="816"/>
    <col min="4354" max="4354" width="22.140625" style="816" customWidth="1"/>
    <col min="4355" max="4355" width="8" style="816" customWidth="1"/>
    <col min="4356" max="4609" width="11.42578125" style="816"/>
    <col min="4610" max="4610" width="22.140625" style="816" customWidth="1"/>
    <col min="4611" max="4611" width="8" style="816" customWidth="1"/>
    <col min="4612" max="4865" width="11.42578125" style="816"/>
    <col min="4866" max="4866" width="22.140625" style="816" customWidth="1"/>
    <col min="4867" max="4867" width="8" style="816" customWidth="1"/>
    <col min="4868" max="5121" width="11.42578125" style="816"/>
    <col min="5122" max="5122" width="22.140625" style="816" customWidth="1"/>
    <col min="5123" max="5123" width="8" style="816" customWidth="1"/>
    <col min="5124" max="5377" width="11.42578125" style="816"/>
    <col min="5378" max="5378" width="22.140625" style="816" customWidth="1"/>
    <col min="5379" max="5379" width="8" style="816" customWidth="1"/>
    <col min="5380" max="5633" width="11.42578125" style="816"/>
    <col min="5634" max="5634" width="22.140625" style="816" customWidth="1"/>
    <col min="5635" max="5635" width="8" style="816" customWidth="1"/>
    <col min="5636" max="5889" width="11.42578125" style="816"/>
    <col min="5890" max="5890" width="22.140625" style="816" customWidth="1"/>
    <col min="5891" max="5891" width="8" style="816" customWidth="1"/>
    <col min="5892" max="6145" width="11.42578125" style="816"/>
    <col min="6146" max="6146" width="22.140625" style="816" customWidth="1"/>
    <col min="6147" max="6147" width="8" style="816" customWidth="1"/>
    <col min="6148" max="6401" width="11.42578125" style="816"/>
    <col min="6402" max="6402" width="22.140625" style="816" customWidth="1"/>
    <col min="6403" max="6403" width="8" style="816" customWidth="1"/>
    <col min="6404" max="6657" width="11.42578125" style="816"/>
    <col min="6658" max="6658" width="22.140625" style="816" customWidth="1"/>
    <col min="6659" max="6659" width="8" style="816" customWidth="1"/>
    <col min="6660" max="6913" width="11.42578125" style="816"/>
    <col min="6914" max="6914" width="22.140625" style="816" customWidth="1"/>
    <col min="6915" max="6915" width="8" style="816" customWidth="1"/>
    <col min="6916" max="7169" width="11.42578125" style="816"/>
    <col min="7170" max="7170" width="22.140625" style="816" customWidth="1"/>
    <col min="7171" max="7171" width="8" style="816" customWidth="1"/>
    <col min="7172" max="7425" width="11.42578125" style="816"/>
    <col min="7426" max="7426" width="22.140625" style="816" customWidth="1"/>
    <col min="7427" max="7427" width="8" style="816" customWidth="1"/>
    <col min="7428" max="7681" width="11.42578125" style="816"/>
    <col min="7682" max="7682" width="22.140625" style="816" customWidth="1"/>
    <col min="7683" max="7683" width="8" style="816" customWidth="1"/>
    <col min="7684" max="7937" width="11.42578125" style="816"/>
    <col min="7938" max="7938" width="22.140625" style="816" customWidth="1"/>
    <col min="7939" max="7939" width="8" style="816" customWidth="1"/>
    <col min="7940" max="8193" width="11.42578125" style="816"/>
    <col min="8194" max="8194" width="22.140625" style="816" customWidth="1"/>
    <col min="8195" max="8195" width="8" style="816" customWidth="1"/>
    <col min="8196" max="8449" width="11.42578125" style="816"/>
    <col min="8450" max="8450" width="22.140625" style="816" customWidth="1"/>
    <col min="8451" max="8451" width="8" style="816" customWidth="1"/>
    <col min="8452" max="8705" width="11.42578125" style="816"/>
    <col min="8706" max="8706" width="22.140625" style="816" customWidth="1"/>
    <col min="8707" max="8707" width="8" style="816" customWidth="1"/>
    <col min="8708" max="8961" width="11.42578125" style="816"/>
    <col min="8962" max="8962" width="22.140625" style="816" customWidth="1"/>
    <col min="8963" max="8963" width="8" style="816" customWidth="1"/>
    <col min="8964" max="9217" width="11.42578125" style="816"/>
    <col min="9218" max="9218" width="22.140625" style="816" customWidth="1"/>
    <col min="9219" max="9219" width="8" style="816" customWidth="1"/>
    <col min="9220" max="9473" width="11.42578125" style="816"/>
    <col min="9474" max="9474" width="22.140625" style="816" customWidth="1"/>
    <col min="9475" max="9475" width="8" style="816" customWidth="1"/>
    <col min="9476" max="9729" width="11.42578125" style="816"/>
    <col min="9730" max="9730" width="22.140625" style="816" customWidth="1"/>
    <col min="9731" max="9731" width="8" style="816" customWidth="1"/>
    <col min="9732" max="9985" width="11.42578125" style="816"/>
    <col min="9986" max="9986" width="22.140625" style="816" customWidth="1"/>
    <col min="9987" max="9987" width="8" style="816" customWidth="1"/>
    <col min="9988" max="10241" width="11.42578125" style="816"/>
    <col min="10242" max="10242" width="22.140625" style="816" customWidth="1"/>
    <col min="10243" max="10243" width="8" style="816" customWidth="1"/>
    <col min="10244" max="10497" width="11.42578125" style="816"/>
    <col min="10498" max="10498" width="22.140625" style="816" customWidth="1"/>
    <col min="10499" max="10499" width="8" style="816" customWidth="1"/>
    <col min="10500" max="10753" width="11.42578125" style="816"/>
    <col min="10754" max="10754" width="22.140625" style="816" customWidth="1"/>
    <col min="10755" max="10755" width="8" style="816" customWidth="1"/>
    <col min="10756" max="11009" width="11.42578125" style="816"/>
    <col min="11010" max="11010" width="22.140625" style="816" customWidth="1"/>
    <col min="11011" max="11011" width="8" style="816" customWidth="1"/>
    <col min="11012" max="11265" width="11.42578125" style="816"/>
    <col min="11266" max="11266" width="22.140625" style="816" customWidth="1"/>
    <col min="11267" max="11267" width="8" style="816" customWidth="1"/>
    <col min="11268" max="11521" width="11.42578125" style="816"/>
    <col min="11522" max="11522" width="22.140625" style="816" customWidth="1"/>
    <col min="11523" max="11523" width="8" style="816" customWidth="1"/>
    <col min="11524" max="11777" width="11.42578125" style="816"/>
    <col min="11778" max="11778" width="22.140625" style="816" customWidth="1"/>
    <col min="11779" max="11779" width="8" style="816" customWidth="1"/>
    <col min="11780" max="12033" width="11.42578125" style="816"/>
    <col min="12034" max="12034" width="22.140625" style="816" customWidth="1"/>
    <col min="12035" max="12035" width="8" style="816" customWidth="1"/>
    <col min="12036" max="12289" width="11.42578125" style="816"/>
    <col min="12290" max="12290" width="22.140625" style="816" customWidth="1"/>
    <col min="12291" max="12291" width="8" style="816" customWidth="1"/>
    <col min="12292" max="12545" width="11.42578125" style="816"/>
    <col min="12546" max="12546" width="22.140625" style="816" customWidth="1"/>
    <col min="12547" max="12547" width="8" style="816" customWidth="1"/>
    <col min="12548" max="12801" width="11.42578125" style="816"/>
    <col min="12802" max="12802" width="22.140625" style="816" customWidth="1"/>
    <col min="12803" max="12803" width="8" style="816" customWidth="1"/>
    <col min="12804" max="13057" width="11.42578125" style="816"/>
    <col min="13058" max="13058" width="22.140625" style="816" customWidth="1"/>
    <col min="13059" max="13059" width="8" style="816" customWidth="1"/>
    <col min="13060" max="13313" width="11.42578125" style="816"/>
    <col min="13314" max="13314" width="22.140625" style="816" customWidth="1"/>
    <col min="13315" max="13315" width="8" style="816" customWidth="1"/>
    <col min="13316" max="13569" width="11.42578125" style="816"/>
    <col min="13570" max="13570" width="22.140625" style="816" customWidth="1"/>
    <col min="13571" max="13571" width="8" style="816" customWidth="1"/>
    <col min="13572" max="13825" width="11.42578125" style="816"/>
    <col min="13826" max="13826" width="22.140625" style="816" customWidth="1"/>
    <col min="13827" max="13827" width="8" style="816" customWidth="1"/>
    <col min="13828" max="14081" width="11.42578125" style="816"/>
    <col min="14082" max="14082" width="22.140625" style="816" customWidth="1"/>
    <col min="14083" max="14083" width="8" style="816" customWidth="1"/>
    <col min="14084" max="14337" width="11.42578125" style="816"/>
    <col min="14338" max="14338" width="22.140625" style="816" customWidth="1"/>
    <col min="14339" max="14339" width="8" style="816" customWidth="1"/>
    <col min="14340" max="14593" width="11.42578125" style="816"/>
    <col min="14594" max="14594" width="22.140625" style="816" customWidth="1"/>
    <col min="14595" max="14595" width="8" style="816" customWidth="1"/>
    <col min="14596" max="14849" width="11.42578125" style="816"/>
    <col min="14850" max="14850" width="22.140625" style="816" customWidth="1"/>
    <col min="14851" max="14851" width="8" style="816" customWidth="1"/>
    <col min="14852" max="15105" width="11.42578125" style="816"/>
    <col min="15106" max="15106" width="22.140625" style="816" customWidth="1"/>
    <col min="15107" max="15107" width="8" style="816" customWidth="1"/>
    <col min="15108" max="15361" width="11.42578125" style="816"/>
    <col min="15362" max="15362" width="22.140625" style="816" customWidth="1"/>
    <col min="15363" max="15363" width="8" style="816" customWidth="1"/>
    <col min="15364" max="15617" width="11.42578125" style="816"/>
    <col min="15618" max="15618" width="22.140625" style="816" customWidth="1"/>
    <col min="15619" max="15619" width="8" style="816" customWidth="1"/>
    <col min="15620" max="15873" width="11.42578125" style="816"/>
    <col min="15874" max="15874" width="22.140625" style="816" customWidth="1"/>
    <col min="15875" max="15875" width="8" style="816" customWidth="1"/>
    <col min="15876" max="16129" width="11.42578125" style="816"/>
    <col min="16130" max="16130" width="22.140625" style="816" customWidth="1"/>
    <col min="16131" max="16131" width="8" style="816" customWidth="1"/>
    <col min="16132" max="16384" width="11.42578125" style="816"/>
  </cols>
  <sheetData>
    <row r="2" spans="2:5">
      <c r="B2" s="816" t="s">
        <v>4386</v>
      </c>
    </row>
    <row r="3" spans="2:5">
      <c r="B3" s="816" t="s">
        <v>4387</v>
      </c>
    </row>
    <row r="4" spans="2:5">
      <c r="B4" s="816" t="s">
        <v>4388</v>
      </c>
    </row>
    <row r="6" spans="2:5">
      <c r="B6" s="816" t="s">
        <v>1588</v>
      </c>
      <c r="C6" s="1549">
        <v>12</v>
      </c>
      <c r="D6" s="816" t="s">
        <v>212</v>
      </c>
    </row>
    <row r="7" spans="2:5">
      <c r="B7" s="816" t="s">
        <v>1704</v>
      </c>
      <c r="C7" s="1549">
        <v>16</v>
      </c>
    </row>
    <row r="8" spans="2:5">
      <c r="B8" s="816" t="s">
        <v>2983</v>
      </c>
      <c r="C8" s="1549">
        <v>600</v>
      </c>
      <c r="D8" s="816" t="s">
        <v>212</v>
      </c>
    </row>
    <row r="9" spans="2:5">
      <c r="B9" s="816" t="s">
        <v>4389</v>
      </c>
      <c r="C9" s="1549">
        <v>0.01</v>
      </c>
      <c r="D9" s="816" t="s">
        <v>212</v>
      </c>
    </row>
    <row r="11" spans="2:5">
      <c r="B11" s="816" t="s">
        <v>4390</v>
      </c>
      <c r="C11" s="816">
        <v>900</v>
      </c>
      <c r="D11" s="816" t="s">
        <v>212</v>
      </c>
      <c r="E11" s="816" t="s">
        <v>4391</v>
      </c>
    </row>
    <row r="13" spans="2:5">
      <c r="B13" s="816" t="s">
        <v>3339</v>
      </c>
      <c r="C13" s="826">
        <v>362.90322580645159</v>
      </c>
      <c r="D13" s="816" t="s">
        <v>212</v>
      </c>
      <c r="E13" s="816" t="s">
        <v>4392</v>
      </c>
    </row>
    <row r="14" spans="2:5">
      <c r="B14" s="816" t="s">
        <v>3341</v>
      </c>
      <c r="C14" s="826">
        <v>1730.7692307692307</v>
      </c>
      <c r="D14" s="816" t="s">
        <v>212</v>
      </c>
      <c r="E14" s="816" t="s">
        <v>4393</v>
      </c>
    </row>
    <row r="18" spans="2:2">
      <c r="B18" s="816" t="s">
        <v>3364</v>
      </c>
    </row>
    <row r="20" spans="2:2">
      <c r="B20" s="816" t="s">
        <v>3365</v>
      </c>
    </row>
    <row r="21" spans="2:2">
      <c r="B21" s="816" t="s">
        <v>4394</v>
      </c>
    </row>
    <row r="22" spans="2:2">
      <c r="B22" s="816" t="s">
        <v>4395</v>
      </c>
    </row>
    <row r="23" spans="2:2">
      <c r="B23" s="816" t="s">
        <v>3368</v>
      </c>
    </row>
    <row r="25" spans="2:2">
      <c r="B25" s="1550" t="s">
        <v>4396</v>
      </c>
    </row>
    <row r="26" spans="2:2">
      <c r="B26" s="1550" t="s">
        <v>3344</v>
      </c>
    </row>
    <row r="28" spans="2:2">
      <c r="B28" s="1550" t="s">
        <v>3373</v>
      </c>
    </row>
    <row r="29" spans="2:2">
      <c r="B29" s="1550" t="s">
        <v>3374</v>
      </c>
    </row>
    <row r="30" spans="2:2">
      <c r="B30" s="1550" t="s">
        <v>3375</v>
      </c>
    </row>
    <row r="31" spans="2:2">
      <c r="B31" s="1550" t="s">
        <v>3376</v>
      </c>
    </row>
  </sheetData>
  <pageMargins left="0.78740157499999996" right="0.78740157499999996" top="0.984251969" bottom="0.984251969" header="0.4921259845" footer="0.4921259845"/>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I30"/>
  <sheetViews>
    <sheetView workbookViewId="0">
      <selection activeCell="J26" sqref="J26"/>
    </sheetView>
  </sheetViews>
  <sheetFormatPr baseColWidth="10" defaultRowHeight="12.75"/>
  <cols>
    <col min="1" max="1" width="11.42578125" style="816"/>
    <col min="2" max="2" width="28.7109375" style="816" customWidth="1"/>
    <col min="3" max="3" width="11.42578125" style="816"/>
    <col min="4" max="4" width="18.7109375" style="816" customWidth="1"/>
    <col min="5" max="5" width="4.5703125" style="816" customWidth="1"/>
    <col min="6" max="6" width="11.42578125" style="816"/>
    <col min="7" max="7" width="5.85546875" style="816" customWidth="1"/>
    <col min="8" max="257" width="11.42578125" style="816"/>
    <col min="258" max="258" width="28.7109375" style="816" customWidth="1"/>
    <col min="259" max="259" width="11.42578125" style="816"/>
    <col min="260" max="260" width="18.7109375" style="816" customWidth="1"/>
    <col min="261" max="261" width="4.5703125" style="816" customWidth="1"/>
    <col min="262" max="262" width="11.42578125" style="816"/>
    <col min="263" max="263" width="5.85546875" style="816" customWidth="1"/>
    <col min="264" max="513" width="11.42578125" style="816"/>
    <col min="514" max="514" width="28.7109375" style="816" customWidth="1"/>
    <col min="515" max="515" width="11.42578125" style="816"/>
    <col min="516" max="516" width="18.7109375" style="816" customWidth="1"/>
    <col min="517" max="517" width="4.5703125" style="816" customWidth="1"/>
    <col min="518" max="518" width="11.42578125" style="816"/>
    <col min="519" max="519" width="5.85546875" style="816" customWidth="1"/>
    <col min="520" max="769" width="11.42578125" style="816"/>
    <col min="770" max="770" width="28.7109375" style="816" customWidth="1"/>
    <col min="771" max="771" width="11.42578125" style="816"/>
    <col min="772" max="772" width="18.7109375" style="816" customWidth="1"/>
    <col min="773" max="773" width="4.5703125" style="816" customWidth="1"/>
    <col min="774" max="774" width="11.42578125" style="816"/>
    <col min="775" max="775" width="5.85546875" style="816" customWidth="1"/>
    <col min="776" max="1025" width="11.42578125" style="816"/>
    <col min="1026" max="1026" width="28.7109375" style="816" customWidth="1"/>
    <col min="1027" max="1027" width="11.42578125" style="816"/>
    <col min="1028" max="1028" width="18.7109375" style="816" customWidth="1"/>
    <col min="1029" max="1029" width="4.5703125" style="816" customWidth="1"/>
    <col min="1030" max="1030" width="11.42578125" style="816"/>
    <col min="1031" max="1031" width="5.85546875" style="816" customWidth="1"/>
    <col min="1032" max="1281" width="11.42578125" style="816"/>
    <col min="1282" max="1282" width="28.7109375" style="816" customWidth="1"/>
    <col min="1283" max="1283" width="11.42578125" style="816"/>
    <col min="1284" max="1284" width="18.7109375" style="816" customWidth="1"/>
    <col min="1285" max="1285" width="4.5703125" style="816" customWidth="1"/>
    <col min="1286" max="1286" width="11.42578125" style="816"/>
    <col min="1287" max="1287" width="5.85546875" style="816" customWidth="1"/>
    <col min="1288" max="1537" width="11.42578125" style="816"/>
    <col min="1538" max="1538" width="28.7109375" style="816" customWidth="1"/>
    <col min="1539" max="1539" width="11.42578125" style="816"/>
    <col min="1540" max="1540" width="18.7109375" style="816" customWidth="1"/>
    <col min="1541" max="1541" width="4.5703125" style="816" customWidth="1"/>
    <col min="1542" max="1542" width="11.42578125" style="816"/>
    <col min="1543" max="1543" width="5.85546875" style="816" customWidth="1"/>
    <col min="1544" max="1793" width="11.42578125" style="816"/>
    <col min="1794" max="1794" width="28.7109375" style="816" customWidth="1"/>
    <col min="1795" max="1795" width="11.42578125" style="816"/>
    <col min="1796" max="1796" width="18.7109375" style="816" customWidth="1"/>
    <col min="1797" max="1797" width="4.5703125" style="816" customWidth="1"/>
    <col min="1798" max="1798" width="11.42578125" style="816"/>
    <col min="1799" max="1799" width="5.85546875" style="816" customWidth="1"/>
    <col min="1800" max="2049" width="11.42578125" style="816"/>
    <col min="2050" max="2050" width="28.7109375" style="816" customWidth="1"/>
    <col min="2051" max="2051" width="11.42578125" style="816"/>
    <col min="2052" max="2052" width="18.7109375" style="816" customWidth="1"/>
    <col min="2053" max="2053" width="4.5703125" style="816" customWidth="1"/>
    <col min="2054" max="2054" width="11.42578125" style="816"/>
    <col min="2055" max="2055" width="5.85546875" style="816" customWidth="1"/>
    <col min="2056" max="2305" width="11.42578125" style="816"/>
    <col min="2306" max="2306" width="28.7109375" style="816" customWidth="1"/>
    <col min="2307" max="2307" width="11.42578125" style="816"/>
    <col min="2308" max="2308" width="18.7109375" style="816" customWidth="1"/>
    <col min="2309" max="2309" width="4.5703125" style="816" customWidth="1"/>
    <col min="2310" max="2310" width="11.42578125" style="816"/>
    <col min="2311" max="2311" width="5.85546875" style="816" customWidth="1"/>
    <col min="2312" max="2561" width="11.42578125" style="816"/>
    <col min="2562" max="2562" width="28.7109375" style="816" customWidth="1"/>
    <col min="2563" max="2563" width="11.42578125" style="816"/>
    <col min="2564" max="2564" width="18.7109375" style="816" customWidth="1"/>
    <col min="2565" max="2565" width="4.5703125" style="816" customWidth="1"/>
    <col min="2566" max="2566" width="11.42578125" style="816"/>
    <col min="2567" max="2567" width="5.85546875" style="816" customWidth="1"/>
    <col min="2568" max="2817" width="11.42578125" style="816"/>
    <col min="2818" max="2818" width="28.7109375" style="816" customWidth="1"/>
    <col min="2819" max="2819" width="11.42578125" style="816"/>
    <col min="2820" max="2820" width="18.7109375" style="816" customWidth="1"/>
    <col min="2821" max="2821" width="4.5703125" style="816" customWidth="1"/>
    <col min="2822" max="2822" width="11.42578125" style="816"/>
    <col min="2823" max="2823" width="5.85546875" style="816" customWidth="1"/>
    <col min="2824" max="3073" width="11.42578125" style="816"/>
    <col min="3074" max="3074" width="28.7109375" style="816" customWidth="1"/>
    <col min="3075" max="3075" width="11.42578125" style="816"/>
    <col min="3076" max="3076" width="18.7109375" style="816" customWidth="1"/>
    <col min="3077" max="3077" width="4.5703125" style="816" customWidth="1"/>
    <col min="3078" max="3078" width="11.42578125" style="816"/>
    <col min="3079" max="3079" width="5.85546875" style="816" customWidth="1"/>
    <col min="3080" max="3329" width="11.42578125" style="816"/>
    <col min="3330" max="3330" width="28.7109375" style="816" customWidth="1"/>
    <col min="3331" max="3331" width="11.42578125" style="816"/>
    <col min="3332" max="3332" width="18.7109375" style="816" customWidth="1"/>
    <col min="3333" max="3333" width="4.5703125" style="816" customWidth="1"/>
    <col min="3334" max="3334" width="11.42578125" style="816"/>
    <col min="3335" max="3335" width="5.85546875" style="816" customWidth="1"/>
    <col min="3336" max="3585" width="11.42578125" style="816"/>
    <col min="3586" max="3586" width="28.7109375" style="816" customWidth="1"/>
    <col min="3587" max="3587" width="11.42578125" style="816"/>
    <col min="3588" max="3588" width="18.7109375" style="816" customWidth="1"/>
    <col min="3589" max="3589" width="4.5703125" style="816" customWidth="1"/>
    <col min="3590" max="3590" width="11.42578125" style="816"/>
    <col min="3591" max="3591" width="5.85546875" style="816" customWidth="1"/>
    <col min="3592" max="3841" width="11.42578125" style="816"/>
    <col min="3842" max="3842" width="28.7109375" style="816" customWidth="1"/>
    <col min="3843" max="3843" width="11.42578125" style="816"/>
    <col min="3844" max="3844" width="18.7109375" style="816" customWidth="1"/>
    <col min="3845" max="3845" width="4.5703125" style="816" customWidth="1"/>
    <col min="3846" max="3846" width="11.42578125" style="816"/>
    <col min="3847" max="3847" width="5.85546875" style="816" customWidth="1"/>
    <col min="3848" max="4097" width="11.42578125" style="816"/>
    <col min="4098" max="4098" width="28.7109375" style="816" customWidth="1"/>
    <col min="4099" max="4099" width="11.42578125" style="816"/>
    <col min="4100" max="4100" width="18.7109375" style="816" customWidth="1"/>
    <col min="4101" max="4101" width="4.5703125" style="816" customWidth="1"/>
    <col min="4102" max="4102" width="11.42578125" style="816"/>
    <col min="4103" max="4103" width="5.85546875" style="816" customWidth="1"/>
    <col min="4104" max="4353" width="11.42578125" style="816"/>
    <col min="4354" max="4354" width="28.7109375" style="816" customWidth="1"/>
    <col min="4355" max="4355" width="11.42578125" style="816"/>
    <col min="4356" max="4356" width="18.7109375" style="816" customWidth="1"/>
    <col min="4357" max="4357" width="4.5703125" style="816" customWidth="1"/>
    <col min="4358" max="4358" width="11.42578125" style="816"/>
    <col min="4359" max="4359" width="5.85546875" style="816" customWidth="1"/>
    <col min="4360" max="4609" width="11.42578125" style="816"/>
    <col min="4610" max="4610" width="28.7109375" style="816" customWidth="1"/>
    <col min="4611" max="4611" width="11.42578125" style="816"/>
    <col min="4612" max="4612" width="18.7109375" style="816" customWidth="1"/>
    <col min="4613" max="4613" width="4.5703125" style="816" customWidth="1"/>
    <col min="4614" max="4614" width="11.42578125" style="816"/>
    <col min="4615" max="4615" width="5.85546875" style="816" customWidth="1"/>
    <col min="4616" max="4865" width="11.42578125" style="816"/>
    <col min="4866" max="4866" width="28.7109375" style="816" customWidth="1"/>
    <col min="4867" max="4867" width="11.42578125" style="816"/>
    <col min="4868" max="4868" width="18.7109375" style="816" customWidth="1"/>
    <col min="4869" max="4869" width="4.5703125" style="816" customWidth="1"/>
    <col min="4870" max="4870" width="11.42578125" style="816"/>
    <col min="4871" max="4871" width="5.85546875" style="816" customWidth="1"/>
    <col min="4872" max="5121" width="11.42578125" style="816"/>
    <col min="5122" max="5122" width="28.7109375" style="816" customWidth="1"/>
    <col min="5123" max="5123" width="11.42578125" style="816"/>
    <col min="5124" max="5124" width="18.7109375" style="816" customWidth="1"/>
    <col min="5125" max="5125" width="4.5703125" style="816" customWidth="1"/>
    <col min="5126" max="5126" width="11.42578125" style="816"/>
    <col min="5127" max="5127" width="5.85546875" style="816" customWidth="1"/>
    <col min="5128" max="5377" width="11.42578125" style="816"/>
    <col min="5378" max="5378" width="28.7109375" style="816" customWidth="1"/>
    <col min="5379" max="5379" width="11.42578125" style="816"/>
    <col min="5380" max="5380" width="18.7109375" style="816" customWidth="1"/>
    <col min="5381" max="5381" width="4.5703125" style="816" customWidth="1"/>
    <col min="5382" max="5382" width="11.42578125" style="816"/>
    <col min="5383" max="5383" width="5.85546875" style="816" customWidth="1"/>
    <col min="5384" max="5633" width="11.42578125" style="816"/>
    <col min="5634" max="5634" width="28.7109375" style="816" customWidth="1"/>
    <col min="5635" max="5635" width="11.42578125" style="816"/>
    <col min="5636" max="5636" width="18.7109375" style="816" customWidth="1"/>
    <col min="5637" max="5637" width="4.5703125" style="816" customWidth="1"/>
    <col min="5638" max="5638" width="11.42578125" style="816"/>
    <col min="5639" max="5639" width="5.85546875" style="816" customWidth="1"/>
    <col min="5640" max="5889" width="11.42578125" style="816"/>
    <col min="5890" max="5890" width="28.7109375" style="816" customWidth="1"/>
    <col min="5891" max="5891" width="11.42578125" style="816"/>
    <col min="5892" max="5892" width="18.7109375" style="816" customWidth="1"/>
    <col min="5893" max="5893" width="4.5703125" style="816" customWidth="1"/>
    <col min="5894" max="5894" width="11.42578125" style="816"/>
    <col min="5895" max="5895" width="5.85546875" style="816" customWidth="1"/>
    <col min="5896" max="6145" width="11.42578125" style="816"/>
    <col min="6146" max="6146" width="28.7109375" style="816" customWidth="1"/>
    <col min="6147" max="6147" width="11.42578125" style="816"/>
    <col min="6148" max="6148" width="18.7109375" style="816" customWidth="1"/>
    <col min="6149" max="6149" width="4.5703125" style="816" customWidth="1"/>
    <col min="6150" max="6150" width="11.42578125" style="816"/>
    <col min="6151" max="6151" width="5.85546875" style="816" customWidth="1"/>
    <col min="6152" max="6401" width="11.42578125" style="816"/>
    <col min="6402" max="6402" width="28.7109375" style="816" customWidth="1"/>
    <col min="6403" max="6403" width="11.42578125" style="816"/>
    <col min="6404" max="6404" width="18.7109375" style="816" customWidth="1"/>
    <col min="6405" max="6405" width="4.5703125" style="816" customWidth="1"/>
    <col min="6406" max="6406" width="11.42578125" style="816"/>
    <col min="6407" max="6407" width="5.85546875" style="816" customWidth="1"/>
    <col min="6408" max="6657" width="11.42578125" style="816"/>
    <col min="6658" max="6658" width="28.7109375" style="816" customWidth="1"/>
    <col min="6659" max="6659" width="11.42578125" style="816"/>
    <col min="6660" max="6660" width="18.7109375" style="816" customWidth="1"/>
    <col min="6661" max="6661" width="4.5703125" style="816" customWidth="1"/>
    <col min="6662" max="6662" width="11.42578125" style="816"/>
    <col min="6663" max="6663" width="5.85546875" style="816" customWidth="1"/>
    <col min="6664" max="6913" width="11.42578125" style="816"/>
    <col min="6914" max="6914" width="28.7109375" style="816" customWidth="1"/>
    <col min="6915" max="6915" width="11.42578125" style="816"/>
    <col min="6916" max="6916" width="18.7109375" style="816" customWidth="1"/>
    <col min="6917" max="6917" width="4.5703125" style="816" customWidth="1"/>
    <col min="6918" max="6918" width="11.42578125" style="816"/>
    <col min="6919" max="6919" width="5.85546875" style="816" customWidth="1"/>
    <col min="6920" max="7169" width="11.42578125" style="816"/>
    <col min="7170" max="7170" width="28.7109375" style="816" customWidth="1"/>
    <col min="7171" max="7171" width="11.42578125" style="816"/>
    <col min="7172" max="7172" width="18.7109375" style="816" customWidth="1"/>
    <col min="7173" max="7173" width="4.5703125" style="816" customWidth="1"/>
    <col min="7174" max="7174" width="11.42578125" style="816"/>
    <col min="7175" max="7175" width="5.85546875" style="816" customWidth="1"/>
    <col min="7176" max="7425" width="11.42578125" style="816"/>
    <col min="7426" max="7426" width="28.7109375" style="816" customWidth="1"/>
    <col min="7427" max="7427" width="11.42578125" style="816"/>
    <col min="7428" max="7428" width="18.7109375" style="816" customWidth="1"/>
    <col min="7429" max="7429" width="4.5703125" style="816" customWidth="1"/>
    <col min="7430" max="7430" width="11.42578125" style="816"/>
    <col min="7431" max="7431" width="5.85546875" style="816" customWidth="1"/>
    <col min="7432" max="7681" width="11.42578125" style="816"/>
    <col min="7682" max="7682" width="28.7109375" style="816" customWidth="1"/>
    <col min="7683" max="7683" width="11.42578125" style="816"/>
    <col min="7684" max="7684" width="18.7109375" style="816" customWidth="1"/>
    <col min="7685" max="7685" width="4.5703125" style="816" customWidth="1"/>
    <col min="7686" max="7686" width="11.42578125" style="816"/>
    <col min="7687" max="7687" width="5.85546875" style="816" customWidth="1"/>
    <col min="7688" max="7937" width="11.42578125" style="816"/>
    <col min="7938" max="7938" width="28.7109375" style="816" customWidth="1"/>
    <col min="7939" max="7939" width="11.42578125" style="816"/>
    <col min="7940" max="7940" width="18.7109375" style="816" customWidth="1"/>
    <col min="7941" max="7941" width="4.5703125" style="816" customWidth="1"/>
    <col min="7942" max="7942" width="11.42578125" style="816"/>
    <col min="7943" max="7943" width="5.85546875" style="816" customWidth="1"/>
    <col min="7944" max="8193" width="11.42578125" style="816"/>
    <col min="8194" max="8194" width="28.7109375" style="816" customWidth="1"/>
    <col min="8195" max="8195" width="11.42578125" style="816"/>
    <col min="8196" max="8196" width="18.7109375" style="816" customWidth="1"/>
    <col min="8197" max="8197" width="4.5703125" style="816" customWidth="1"/>
    <col min="8198" max="8198" width="11.42578125" style="816"/>
    <col min="8199" max="8199" width="5.85546875" style="816" customWidth="1"/>
    <col min="8200" max="8449" width="11.42578125" style="816"/>
    <col min="8450" max="8450" width="28.7109375" style="816" customWidth="1"/>
    <col min="8451" max="8451" width="11.42578125" style="816"/>
    <col min="8452" max="8452" width="18.7109375" style="816" customWidth="1"/>
    <col min="8453" max="8453" width="4.5703125" style="816" customWidth="1"/>
    <col min="8454" max="8454" width="11.42578125" style="816"/>
    <col min="8455" max="8455" width="5.85546875" style="816" customWidth="1"/>
    <col min="8456" max="8705" width="11.42578125" style="816"/>
    <col min="8706" max="8706" width="28.7109375" style="816" customWidth="1"/>
    <col min="8707" max="8707" width="11.42578125" style="816"/>
    <col min="8708" max="8708" width="18.7109375" style="816" customWidth="1"/>
    <col min="8709" max="8709" width="4.5703125" style="816" customWidth="1"/>
    <col min="8710" max="8710" width="11.42578125" style="816"/>
    <col min="8711" max="8711" width="5.85546875" style="816" customWidth="1"/>
    <col min="8712" max="8961" width="11.42578125" style="816"/>
    <col min="8962" max="8962" width="28.7109375" style="816" customWidth="1"/>
    <col min="8963" max="8963" width="11.42578125" style="816"/>
    <col min="8964" max="8964" width="18.7109375" style="816" customWidth="1"/>
    <col min="8965" max="8965" width="4.5703125" style="816" customWidth="1"/>
    <col min="8966" max="8966" width="11.42578125" style="816"/>
    <col min="8967" max="8967" width="5.85546875" style="816" customWidth="1"/>
    <col min="8968" max="9217" width="11.42578125" style="816"/>
    <col min="9218" max="9218" width="28.7109375" style="816" customWidth="1"/>
    <col min="9219" max="9219" width="11.42578125" style="816"/>
    <col min="9220" max="9220" width="18.7109375" style="816" customWidth="1"/>
    <col min="9221" max="9221" width="4.5703125" style="816" customWidth="1"/>
    <col min="9222" max="9222" width="11.42578125" style="816"/>
    <col min="9223" max="9223" width="5.85546875" style="816" customWidth="1"/>
    <col min="9224" max="9473" width="11.42578125" style="816"/>
    <col min="9474" max="9474" width="28.7109375" style="816" customWidth="1"/>
    <col min="9475" max="9475" width="11.42578125" style="816"/>
    <col min="9476" max="9476" width="18.7109375" style="816" customWidth="1"/>
    <col min="9477" max="9477" width="4.5703125" style="816" customWidth="1"/>
    <col min="9478" max="9478" width="11.42578125" style="816"/>
    <col min="9479" max="9479" width="5.85546875" style="816" customWidth="1"/>
    <col min="9480" max="9729" width="11.42578125" style="816"/>
    <col min="9730" max="9730" width="28.7109375" style="816" customWidth="1"/>
    <col min="9731" max="9731" width="11.42578125" style="816"/>
    <col min="9732" max="9732" width="18.7109375" style="816" customWidth="1"/>
    <col min="9733" max="9733" width="4.5703125" style="816" customWidth="1"/>
    <col min="9734" max="9734" width="11.42578125" style="816"/>
    <col min="9735" max="9735" width="5.85546875" style="816" customWidth="1"/>
    <col min="9736" max="9985" width="11.42578125" style="816"/>
    <col min="9986" max="9986" width="28.7109375" style="816" customWidth="1"/>
    <col min="9987" max="9987" width="11.42578125" style="816"/>
    <col min="9988" max="9988" width="18.7109375" style="816" customWidth="1"/>
    <col min="9989" max="9989" width="4.5703125" style="816" customWidth="1"/>
    <col min="9990" max="9990" width="11.42578125" style="816"/>
    <col min="9991" max="9991" width="5.85546875" style="816" customWidth="1"/>
    <col min="9992" max="10241" width="11.42578125" style="816"/>
    <col min="10242" max="10242" width="28.7109375" style="816" customWidth="1"/>
    <col min="10243" max="10243" width="11.42578125" style="816"/>
    <col min="10244" max="10244" width="18.7109375" style="816" customWidth="1"/>
    <col min="10245" max="10245" width="4.5703125" style="816" customWidth="1"/>
    <col min="10246" max="10246" width="11.42578125" style="816"/>
    <col min="10247" max="10247" width="5.85546875" style="816" customWidth="1"/>
    <col min="10248" max="10497" width="11.42578125" style="816"/>
    <col min="10498" max="10498" width="28.7109375" style="816" customWidth="1"/>
    <col min="10499" max="10499" width="11.42578125" style="816"/>
    <col min="10500" max="10500" width="18.7109375" style="816" customWidth="1"/>
    <col min="10501" max="10501" width="4.5703125" style="816" customWidth="1"/>
    <col min="10502" max="10502" width="11.42578125" style="816"/>
    <col min="10503" max="10503" width="5.85546875" style="816" customWidth="1"/>
    <col min="10504" max="10753" width="11.42578125" style="816"/>
    <col min="10754" max="10754" width="28.7109375" style="816" customWidth="1"/>
    <col min="10755" max="10755" width="11.42578125" style="816"/>
    <col min="10756" max="10756" width="18.7109375" style="816" customWidth="1"/>
    <col min="10757" max="10757" width="4.5703125" style="816" customWidth="1"/>
    <col min="10758" max="10758" width="11.42578125" style="816"/>
    <col min="10759" max="10759" width="5.85546875" style="816" customWidth="1"/>
    <col min="10760" max="11009" width="11.42578125" style="816"/>
    <col min="11010" max="11010" width="28.7109375" style="816" customWidth="1"/>
    <col min="11011" max="11011" width="11.42578125" style="816"/>
    <col min="11012" max="11012" width="18.7109375" style="816" customWidth="1"/>
    <col min="11013" max="11013" width="4.5703125" style="816" customWidth="1"/>
    <col min="11014" max="11014" width="11.42578125" style="816"/>
    <col min="11015" max="11015" width="5.85546875" style="816" customWidth="1"/>
    <col min="11016" max="11265" width="11.42578125" style="816"/>
    <col min="11266" max="11266" width="28.7109375" style="816" customWidth="1"/>
    <col min="11267" max="11267" width="11.42578125" style="816"/>
    <col min="11268" max="11268" width="18.7109375" style="816" customWidth="1"/>
    <col min="11269" max="11269" width="4.5703125" style="816" customWidth="1"/>
    <col min="11270" max="11270" width="11.42578125" style="816"/>
    <col min="11271" max="11271" width="5.85546875" style="816" customWidth="1"/>
    <col min="11272" max="11521" width="11.42578125" style="816"/>
    <col min="11522" max="11522" width="28.7109375" style="816" customWidth="1"/>
    <col min="11523" max="11523" width="11.42578125" style="816"/>
    <col min="11524" max="11524" width="18.7109375" style="816" customWidth="1"/>
    <col min="11525" max="11525" width="4.5703125" style="816" customWidth="1"/>
    <col min="11526" max="11526" width="11.42578125" style="816"/>
    <col min="11527" max="11527" width="5.85546875" style="816" customWidth="1"/>
    <col min="11528" max="11777" width="11.42578125" style="816"/>
    <col min="11778" max="11778" width="28.7109375" style="816" customWidth="1"/>
    <col min="11779" max="11779" width="11.42578125" style="816"/>
    <col min="11780" max="11780" width="18.7109375" style="816" customWidth="1"/>
    <col min="11781" max="11781" width="4.5703125" style="816" customWidth="1"/>
    <col min="11782" max="11782" width="11.42578125" style="816"/>
    <col min="11783" max="11783" width="5.85546875" style="816" customWidth="1"/>
    <col min="11784" max="12033" width="11.42578125" style="816"/>
    <col min="12034" max="12034" width="28.7109375" style="816" customWidth="1"/>
    <col min="12035" max="12035" width="11.42578125" style="816"/>
    <col min="12036" max="12036" width="18.7109375" style="816" customWidth="1"/>
    <col min="12037" max="12037" width="4.5703125" style="816" customWidth="1"/>
    <col min="12038" max="12038" width="11.42578125" style="816"/>
    <col min="12039" max="12039" width="5.85546875" style="816" customWidth="1"/>
    <col min="12040" max="12289" width="11.42578125" style="816"/>
    <col min="12290" max="12290" width="28.7109375" style="816" customWidth="1"/>
    <col min="12291" max="12291" width="11.42578125" style="816"/>
    <col min="12292" max="12292" width="18.7109375" style="816" customWidth="1"/>
    <col min="12293" max="12293" width="4.5703125" style="816" customWidth="1"/>
    <col min="12294" max="12294" width="11.42578125" style="816"/>
    <col min="12295" max="12295" width="5.85546875" style="816" customWidth="1"/>
    <col min="12296" max="12545" width="11.42578125" style="816"/>
    <col min="12546" max="12546" width="28.7109375" style="816" customWidth="1"/>
    <col min="12547" max="12547" width="11.42578125" style="816"/>
    <col min="12548" max="12548" width="18.7109375" style="816" customWidth="1"/>
    <col min="12549" max="12549" width="4.5703125" style="816" customWidth="1"/>
    <col min="12550" max="12550" width="11.42578125" style="816"/>
    <col min="12551" max="12551" width="5.85546875" style="816" customWidth="1"/>
    <col min="12552" max="12801" width="11.42578125" style="816"/>
    <col min="12802" max="12802" width="28.7109375" style="816" customWidth="1"/>
    <col min="12803" max="12803" width="11.42578125" style="816"/>
    <col min="12804" max="12804" width="18.7109375" style="816" customWidth="1"/>
    <col min="12805" max="12805" width="4.5703125" style="816" customWidth="1"/>
    <col min="12806" max="12806" width="11.42578125" style="816"/>
    <col min="12807" max="12807" width="5.85546875" style="816" customWidth="1"/>
    <col min="12808" max="13057" width="11.42578125" style="816"/>
    <col min="13058" max="13058" width="28.7109375" style="816" customWidth="1"/>
    <col min="13059" max="13059" width="11.42578125" style="816"/>
    <col min="13060" max="13060" width="18.7109375" style="816" customWidth="1"/>
    <col min="13061" max="13061" width="4.5703125" style="816" customWidth="1"/>
    <col min="13062" max="13062" width="11.42578125" style="816"/>
    <col min="13063" max="13063" width="5.85546875" style="816" customWidth="1"/>
    <col min="13064" max="13313" width="11.42578125" style="816"/>
    <col min="13314" max="13314" width="28.7109375" style="816" customWidth="1"/>
    <col min="13315" max="13315" width="11.42578125" style="816"/>
    <col min="13316" max="13316" width="18.7109375" style="816" customWidth="1"/>
    <col min="13317" max="13317" width="4.5703125" style="816" customWidth="1"/>
    <col min="13318" max="13318" width="11.42578125" style="816"/>
    <col min="13319" max="13319" width="5.85546875" style="816" customWidth="1"/>
    <col min="13320" max="13569" width="11.42578125" style="816"/>
    <col min="13570" max="13570" width="28.7109375" style="816" customWidth="1"/>
    <col min="13571" max="13571" width="11.42578125" style="816"/>
    <col min="13572" max="13572" width="18.7109375" style="816" customWidth="1"/>
    <col min="13573" max="13573" width="4.5703125" style="816" customWidth="1"/>
    <col min="13574" max="13574" width="11.42578125" style="816"/>
    <col min="13575" max="13575" width="5.85546875" style="816" customWidth="1"/>
    <col min="13576" max="13825" width="11.42578125" style="816"/>
    <col min="13826" max="13826" width="28.7109375" style="816" customWidth="1"/>
    <col min="13827" max="13827" width="11.42578125" style="816"/>
    <col min="13828" max="13828" width="18.7109375" style="816" customWidth="1"/>
    <col min="13829" max="13829" width="4.5703125" style="816" customWidth="1"/>
    <col min="13830" max="13830" width="11.42578125" style="816"/>
    <col min="13831" max="13831" width="5.85546875" style="816" customWidth="1"/>
    <col min="13832" max="14081" width="11.42578125" style="816"/>
    <col min="14082" max="14082" width="28.7109375" style="816" customWidth="1"/>
    <col min="14083" max="14083" width="11.42578125" style="816"/>
    <col min="14084" max="14084" width="18.7109375" style="816" customWidth="1"/>
    <col min="14085" max="14085" width="4.5703125" style="816" customWidth="1"/>
    <col min="14086" max="14086" width="11.42578125" style="816"/>
    <col min="14087" max="14087" width="5.85546875" style="816" customWidth="1"/>
    <col min="14088" max="14337" width="11.42578125" style="816"/>
    <col min="14338" max="14338" width="28.7109375" style="816" customWidth="1"/>
    <col min="14339" max="14339" width="11.42578125" style="816"/>
    <col min="14340" max="14340" width="18.7109375" style="816" customWidth="1"/>
    <col min="14341" max="14341" width="4.5703125" style="816" customWidth="1"/>
    <col min="14342" max="14342" width="11.42578125" style="816"/>
    <col min="14343" max="14343" width="5.85546875" style="816" customWidth="1"/>
    <col min="14344" max="14593" width="11.42578125" style="816"/>
    <col min="14594" max="14594" width="28.7109375" style="816" customWidth="1"/>
    <col min="14595" max="14595" width="11.42578125" style="816"/>
    <col min="14596" max="14596" width="18.7109375" style="816" customWidth="1"/>
    <col min="14597" max="14597" width="4.5703125" style="816" customWidth="1"/>
    <col min="14598" max="14598" width="11.42578125" style="816"/>
    <col min="14599" max="14599" width="5.85546875" style="816" customWidth="1"/>
    <col min="14600" max="14849" width="11.42578125" style="816"/>
    <col min="14850" max="14850" width="28.7109375" style="816" customWidth="1"/>
    <col min="14851" max="14851" width="11.42578125" style="816"/>
    <col min="14852" max="14852" width="18.7109375" style="816" customWidth="1"/>
    <col min="14853" max="14853" width="4.5703125" style="816" customWidth="1"/>
    <col min="14854" max="14854" width="11.42578125" style="816"/>
    <col min="14855" max="14855" width="5.85546875" style="816" customWidth="1"/>
    <col min="14856" max="15105" width="11.42578125" style="816"/>
    <col min="15106" max="15106" width="28.7109375" style="816" customWidth="1"/>
    <col min="15107" max="15107" width="11.42578125" style="816"/>
    <col min="15108" max="15108" width="18.7109375" style="816" customWidth="1"/>
    <col min="15109" max="15109" width="4.5703125" style="816" customWidth="1"/>
    <col min="15110" max="15110" width="11.42578125" style="816"/>
    <col min="15111" max="15111" width="5.85546875" style="816" customWidth="1"/>
    <col min="15112" max="15361" width="11.42578125" style="816"/>
    <col min="15362" max="15362" width="28.7109375" style="816" customWidth="1"/>
    <col min="15363" max="15363" width="11.42578125" style="816"/>
    <col min="15364" max="15364" width="18.7109375" style="816" customWidth="1"/>
    <col min="15365" max="15365" width="4.5703125" style="816" customWidth="1"/>
    <col min="15366" max="15366" width="11.42578125" style="816"/>
    <col min="15367" max="15367" width="5.85546875" style="816" customWidth="1"/>
    <col min="15368" max="15617" width="11.42578125" style="816"/>
    <col min="15618" max="15618" width="28.7109375" style="816" customWidth="1"/>
    <col min="15619" max="15619" width="11.42578125" style="816"/>
    <col min="15620" max="15620" width="18.7109375" style="816" customWidth="1"/>
    <col min="15621" max="15621" width="4.5703125" style="816" customWidth="1"/>
    <col min="15622" max="15622" width="11.42578125" style="816"/>
    <col min="15623" max="15623" width="5.85546875" style="816" customWidth="1"/>
    <col min="15624" max="15873" width="11.42578125" style="816"/>
    <col min="15874" max="15874" width="28.7109375" style="816" customWidth="1"/>
    <col min="15875" max="15875" width="11.42578125" style="816"/>
    <col min="15876" max="15876" width="18.7109375" style="816" customWidth="1"/>
    <col min="15877" max="15877" width="4.5703125" style="816" customWidth="1"/>
    <col min="15878" max="15878" width="11.42578125" style="816"/>
    <col min="15879" max="15879" width="5.85546875" style="816" customWidth="1"/>
    <col min="15880" max="16129" width="11.42578125" style="816"/>
    <col min="16130" max="16130" width="28.7109375" style="816" customWidth="1"/>
    <col min="16131" max="16131" width="11.42578125" style="816"/>
    <col min="16132" max="16132" width="18.7109375" style="816" customWidth="1"/>
    <col min="16133" max="16133" width="4.5703125" style="816" customWidth="1"/>
    <col min="16134" max="16134" width="11.42578125" style="816"/>
    <col min="16135" max="16135" width="5.85546875" style="816" customWidth="1"/>
    <col min="16136" max="16384" width="11.42578125" style="816"/>
  </cols>
  <sheetData>
    <row r="2" spans="2:9">
      <c r="B2" s="816" t="s">
        <v>4397</v>
      </c>
    </row>
    <row r="3" spans="2:9">
      <c r="B3" s="816" t="s">
        <v>4398</v>
      </c>
    </row>
    <row r="4" spans="2:9">
      <c r="B4" s="816" t="s">
        <v>4399</v>
      </c>
    </row>
    <row r="6" spans="2:9">
      <c r="B6" s="1549" t="s">
        <v>977</v>
      </c>
    </row>
    <row r="8" spans="2:9">
      <c r="B8" s="816" t="s">
        <v>4400</v>
      </c>
    </row>
    <row r="9" spans="2:9">
      <c r="B9" s="816" t="s">
        <v>4401</v>
      </c>
    </row>
    <row r="11" spans="2:9">
      <c r="B11" s="816" t="s">
        <v>4402</v>
      </c>
      <c r="C11" s="1549">
        <v>50</v>
      </c>
    </row>
    <row r="12" spans="2:9">
      <c r="B12" s="816" t="s">
        <v>4403</v>
      </c>
      <c r="C12" s="816">
        <v>0.03</v>
      </c>
      <c r="I12" s="816">
        <v>3</v>
      </c>
    </row>
    <row r="14" spans="2:9">
      <c r="E14" s="821" t="s">
        <v>3400</v>
      </c>
    </row>
    <row r="15" spans="2:9">
      <c r="B15" s="816" t="s">
        <v>4404</v>
      </c>
      <c r="C15" s="816">
        <v>2</v>
      </c>
      <c r="D15" s="1551">
        <v>41666.666666666672</v>
      </c>
      <c r="E15" s="816" t="s">
        <v>344</v>
      </c>
      <c r="F15" s="826">
        <v>41.666666666666671</v>
      </c>
      <c r="G15" s="816" t="s">
        <v>68</v>
      </c>
    </row>
    <row r="16" spans="2:9">
      <c r="B16" s="821"/>
      <c r="C16" s="1552">
        <v>2.8284271247461903</v>
      </c>
      <c r="D16" s="1551">
        <v>29462.782549439478</v>
      </c>
      <c r="E16" s="816" t="s">
        <v>344</v>
      </c>
      <c r="F16" s="826">
        <v>29.462782549439478</v>
      </c>
      <c r="G16" s="816" t="s">
        <v>68</v>
      </c>
    </row>
    <row r="17" spans="2:7">
      <c r="C17" s="816">
        <v>4</v>
      </c>
      <c r="D17" s="1551">
        <v>20833.333333333328</v>
      </c>
      <c r="E17" s="816" t="s">
        <v>344</v>
      </c>
      <c r="F17" s="826">
        <v>20.833333333333329</v>
      </c>
      <c r="G17" s="816" t="s">
        <v>68</v>
      </c>
    </row>
    <row r="18" spans="2:7">
      <c r="C18" s="1552">
        <v>5.6568542494923815</v>
      </c>
      <c r="D18" s="1551">
        <v>14731.391274719737</v>
      </c>
      <c r="E18" s="816" t="s">
        <v>344</v>
      </c>
      <c r="F18" s="826">
        <v>14.731391274719737</v>
      </c>
      <c r="G18" s="816" t="s">
        <v>68</v>
      </c>
    </row>
    <row r="19" spans="2:7">
      <c r="C19" s="816">
        <v>8</v>
      </c>
      <c r="D19" s="1551">
        <v>10416.666666666664</v>
      </c>
      <c r="E19" s="816" t="s">
        <v>344</v>
      </c>
      <c r="F19" s="826">
        <v>10.416666666666664</v>
      </c>
      <c r="G19" s="816" t="s">
        <v>68</v>
      </c>
    </row>
    <row r="20" spans="2:7">
      <c r="C20" s="1552">
        <v>11.313708498984763</v>
      </c>
      <c r="D20" s="1551">
        <v>7365.6956373598687</v>
      </c>
      <c r="E20" s="816" t="s">
        <v>344</v>
      </c>
      <c r="F20" s="826">
        <v>7.3656956373598685</v>
      </c>
      <c r="G20" s="816" t="s">
        <v>68</v>
      </c>
    </row>
    <row r="21" spans="2:7">
      <c r="C21" s="816">
        <v>16</v>
      </c>
      <c r="D21" s="1551">
        <v>5208.3333333333321</v>
      </c>
      <c r="E21" s="816" t="s">
        <v>344</v>
      </c>
      <c r="F21" s="826">
        <v>5.2083333333333321</v>
      </c>
      <c r="G21" s="816" t="s">
        <v>68</v>
      </c>
    </row>
    <row r="22" spans="2:7">
      <c r="C22" s="1552">
        <v>22.627416997969526</v>
      </c>
      <c r="D22" s="1551">
        <v>3682.8478186799343</v>
      </c>
      <c r="E22" s="816" t="s">
        <v>344</v>
      </c>
      <c r="F22" s="826">
        <v>3.6828478186799343</v>
      </c>
      <c r="G22" s="816" t="s">
        <v>68</v>
      </c>
    </row>
    <row r="23" spans="2:7">
      <c r="C23" s="816">
        <v>32</v>
      </c>
      <c r="D23" s="1551">
        <v>2604.1666666666661</v>
      </c>
      <c r="E23" s="816" t="s">
        <v>344</v>
      </c>
      <c r="F23" s="826">
        <v>2.6041666666666661</v>
      </c>
      <c r="G23" s="816" t="s">
        <v>68</v>
      </c>
    </row>
    <row r="24" spans="2:7">
      <c r="C24" s="1553">
        <v>45.254833995939052</v>
      </c>
      <c r="D24" s="1551">
        <v>1841.4239093399672</v>
      </c>
      <c r="E24" s="816" t="s">
        <v>344</v>
      </c>
      <c r="F24" s="826">
        <v>1.8414239093399671</v>
      </c>
      <c r="G24" s="816" t="s">
        <v>68</v>
      </c>
    </row>
    <row r="25" spans="2:7">
      <c r="C25" s="816">
        <v>64</v>
      </c>
      <c r="D25" s="1551">
        <v>1302.083333333333</v>
      </c>
      <c r="E25" s="816" t="s">
        <v>344</v>
      </c>
      <c r="F25" s="826">
        <v>1.302083333333333</v>
      </c>
      <c r="G25" s="816" t="s">
        <v>68</v>
      </c>
    </row>
    <row r="28" spans="2:7">
      <c r="B28" s="816" t="s">
        <v>4405</v>
      </c>
    </row>
    <row r="29" spans="2:7">
      <c r="B29" s="816" t="s">
        <v>4406</v>
      </c>
    </row>
    <row r="30" spans="2:7">
      <c r="B30" s="816" t="s">
        <v>4407</v>
      </c>
    </row>
  </sheetData>
  <dataValidations count="2">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"50,80,150"</formula1>
    </dataValidation>
    <dataValidation type="list" allowBlank="1" showInputMessage="1" showErrorMessage="1" sqref="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formula1>"1,2,3,4"</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P29"/>
  <sheetViews>
    <sheetView workbookViewId="0">
      <selection activeCell="J26" sqref="J26"/>
    </sheetView>
  </sheetViews>
  <sheetFormatPr baseColWidth="10" defaultRowHeight="12.75"/>
  <cols>
    <col min="1" max="1" width="5.85546875" style="816" customWidth="1"/>
    <col min="2" max="2" width="32.5703125" style="816" customWidth="1"/>
    <col min="3" max="3" width="10.28515625" style="816" customWidth="1"/>
    <col min="4" max="4" width="4.5703125" style="816" customWidth="1"/>
    <col min="5" max="5" width="4.140625" style="816" customWidth="1"/>
    <col min="6" max="6" width="8.42578125" style="816" customWidth="1"/>
    <col min="7" max="7" width="4.7109375" style="816" customWidth="1"/>
    <col min="8" max="8" width="4" style="816" customWidth="1"/>
    <col min="9" max="9" width="8.85546875" style="816" customWidth="1"/>
    <col min="10" max="10" width="4.85546875" style="816" customWidth="1"/>
    <col min="11" max="11" width="3.7109375" style="816" customWidth="1"/>
    <col min="12" max="12" width="8.85546875" style="816" customWidth="1"/>
    <col min="13" max="13" width="4.7109375" style="816" customWidth="1"/>
    <col min="14" max="14" width="4.28515625" style="816" customWidth="1"/>
    <col min="15" max="15" width="11" style="816" customWidth="1"/>
    <col min="16" max="16" width="5.140625" style="816" customWidth="1"/>
    <col min="17" max="256" width="11.42578125" style="816"/>
    <col min="257" max="257" width="5.85546875" style="816" customWidth="1"/>
    <col min="258" max="258" width="32.5703125" style="816" customWidth="1"/>
    <col min="259" max="259" width="10.28515625" style="816" customWidth="1"/>
    <col min="260" max="260" width="4.5703125" style="816" customWidth="1"/>
    <col min="261" max="261" width="4.140625" style="816" customWidth="1"/>
    <col min="262" max="262" width="8.42578125" style="816" customWidth="1"/>
    <col min="263" max="263" width="4.7109375" style="816" customWidth="1"/>
    <col min="264" max="264" width="4" style="816" customWidth="1"/>
    <col min="265" max="265" width="8.85546875" style="816" customWidth="1"/>
    <col min="266" max="266" width="4.85546875" style="816" customWidth="1"/>
    <col min="267" max="267" width="3.7109375" style="816" customWidth="1"/>
    <col min="268" max="268" width="8.85546875" style="816" customWidth="1"/>
    <col min="269" max="269" width="4.7109375" style="816" customWidth="1"/>
    <col min="270" max="270" width="4.28515625" style="816" customWidth="1"/>
    <col min="271" max="271" width="11" style="816" customWidth="1"/>
    <col min="272" max="272" width="5.140625" style="816" customWidth="1"/>
    <col min="273" max="512" width="11.42578125" style="816"/>
    <col min="513" max="513" width="5.85546875" style="816" customWidth="1"/>
    <col min="514" max="514" width="32.5703125" style="816" customWidth="1"/>
    <col min="515" max="515" width="10.28515625" style="816" customWidth="1"/>
    <col min="516" max="516" width="4.5703125" style="816" customWidth="1"/>
    <col min="517" max="517" width="4.140625" style="816" customWidth="1"/>
    <col min="518" max="518" width="8.42578125" style="816" customWidth="1"/>
    <col min="519" max="519" width="4.7109375" style="816" customWidth="1"/>
    <col min="520" max="520" width="4" style="816" customWidth="1"/>
    <col min="521" max="521" width="8.85546875" style="816" customWidth="1"/>
    <col min="522" max="522" width="4.85546875" style="816" customWidth="1"/>
    <col min="523" max="523" width="3.7109375" style="816" customWidth="1"/>
    <col min="524" max="524" width="8.85546875" style="816" customWidth="1"/>
    <col min="525" max="525" width="4.7109375" style="816" customWidth="1"/>
    <col min="526" max="526" width="4.28515625" style="816" customWidth="1"/>
    <col min="527" max="527" width="11" style="816" customWidth="1"/>
    <col min="528" max="528" width="5.140625" style="816" customWidth="1"/>
    <col min="529" max="768" width="11.42578125" style="816"/>
    <col min="769" max="769" width="5.85546875" style="816" customWidth="1"/>
    <col min="770" max="770" width="32.5703125" style="816" customWidth="1"/>
    <col min="771" max="771" width="10.28515625" style="816" customWidth="1"/>
    <col min="772" max="772" width="4.5703125" style="816" customWidth="1"/>
    <col min="773" max="773" width="4.140625" style="816" customWidth="1"/>
    <col min="774" max="774" width="8.42578125" style="816" customWidth="1"/>
    <col min="775" max="775" width="4.7109375" style="816" customWidth="1"/>
    <col min="776" max="776" width="4" style="816" customWidth="1"/>
    <col min="777" max="777" width="8.85546875" style="816" customWidth="1"/>
    <col min="778" max="778" width="4.85546875" style="816" customWidth="1"/>
    <col min="779" max="779" width="3.7109375" style="816" customWidth="1"/>
    <col min="780" max="780" width="8.85546875" style="816" customWidth="1"/>
    <col min="781" max="781" width="4.7109375" style="816" customWidth="1"/>
    <col min="782" max="782" width="4.28515625" style="816" customWidth="1"/>
    <col min="783" max="783" width="11" style="816" customWidth="1"/>
    <col min="784" max="784" width="5.140625" style="816" customWidth="1"/>
    <col min="785" max="1024" width="11.42578125" style="816"/>
    <col min="1025" max="1025" width="5.85546875" style="816" customWidth="1"/>
    <col min="1026" max="1026" width="32.5703125" style="816" customWidth="1"/>
    <col min="1027" max="1027" width="10.28515625" style="816" customWidth="1"/>
    <col min="1028" max="1028" width="4.5703125" style="816" customWidth="1"/>
    <col min="1029" max="1029" width="4.140625" style="816" customWidth="1"/>
    <col min="1030" max="1030" width="8.42578125" style="816" customWidth="1"/>
    <col min="1031" max="1031" width="4.7109375" style="816" customWidth="1"/>
    <col min="1032" max="1032" width="4" style="816" customWidth="1"/>
    <col min="1033" max="1033" width="8.85546875" style="816" customWidth="1"/>
    <col min="1034" max="1034" width="4.85546875" style="816" customWidth="1"/>
    <col min="1035" max="1035" width="3.7109375" style="816" customWidth="1"/>
    <col min="1036" max="1036" width="8.85546875" style="816" customWidth="1"/>
    <col min="1037" max="1037" width="4.7109375" style="816" customWidth="1"/>
    <col min="1038" max="1038" width="4.28515625" style="816" customWidth="1"/>
    <col min="1039" max="1039" width="11" style="816" customWidth="1"/>
    <col min="1040" max="1040" width="5.140625" style="816" customWidth="1"/>
    <col min="1041" max="1280" width="11.42578125" style="816"/>
    <col min="1281" max="1281" width="5.85546875" style="816" customWidth="1"/>
    <col min="1282" max="1282" width="32.5703125" style="816" customWidth="1"/>
    <col min="1283" max="1283" width="10.28515625" style="816" customWidth="1"/>
    <col min="1284" max="1284" width="4.5703125" style="816" customWidth="1"/>
    <col min="1285" max="1285" width="4.140625" style="816" customWidth="1"/>
    <col min="1286" max="1286" width="8.42578125" style="816" customWidth="1"/>
    <col min="1287" max="1287" width="4.7109375" style="816" customWidth="1"/>
    <col min="1288" max="1288" width="4" style="816" customWidth="1"/>
    <col min="1289" max="1289" width="8.85546875" style="816" customWidth="1"/>
    <col min="1290" max="1290" width="4.85546875" style="816" customWidth="1"/>
    <col min="1291" max="1291" width="3.7109375" style="816" customWidth="1"/>
    <col min="1292" max="1292" width="8.85546875" style="816" customWidth="1"/>
    <col min="1293" max="1293" width="4.7109375" style="816" customWidth="1"/>
    <col min="1294" max="1294" width="4.28515625" style="816" customWidth="1"/>
    <col min="1295" max="1295" width="11" style="816" customWidth="1"/>
    <col min="1296" max="1296" width="5.140625" style="816" customWidth="1"/>
    <col min="1297" max="1536" width="11.42578125" style="816"/>
    <col min="1537" max="1537" width="5.85546875" style="816" customWidth="1"/>
    <col min="1538" max="1538" width="32.5703125" style="816" customWidth="1"/>
    <col min="1539" max="1539" width="10.28515625" style="816" customWidth="1"/>
    <col min="1540" max="1540" width="4.5703125" style="816" customWidth="1"/>
    <col min="1541" max="1541" width="4.140625" style="816" customWidth="1"/>
    <col min="1542" max="1542" width="8.42578125" style="816" customWidth="1"/>
    <col min="1543" max="1543" width="4.7109375" style="816" customWidth="1"/>
    <col min="1544" max="1544" width="4" style="816" customWidth="1"/>
    <col min="1545" max="1545" width="8.85546875" style="816" customWidth="1"/>
    <col min="1546" max="1546" width="4.85546875" style="816" customWidth="1"/>
    <col min="1547" max="1547" width="3.7109375" style="816" customWidth="1"/>
    <col min="1548" max="1548" width="8.85546875" style="816" customWidth="1"/>
    <col min="1549" max="1549" width="4.7109375" style="816" customWidth="1"/>
    <col min="1550" max="1550" width="4.28515625" style="816" customWidth="1"/>
    <col min="1551" max="1551" width="11" style="816" customWidth="1"/>
    <col min="1552" max="1552" width="5.140625" style="816" customWidth="1"/>
    <col min="1553" max="1792" width="11.42578125" style="816"/>
    <col min="1793" max="1793" width="5.85546875" style="816" customWidth="1"/>
    <col min="1794" max="1794" width="32.5703125" style="816" customWidth="1"/>
    <col min="1795" max="1795" width="10.28515625" style="816" customWidth="1"/>
    <col min="1796" max="1796" width="4.5703125" style="816" customWidth="1"/>
    <col min="1797" max="1797" width="4.140625" style="816" customWidth="1"/>
    <col min="1798" max="1798" width="8.42578125" style="816" customWidth="1"/>
    <col min="1799" max="1799" width="4.7109375" style="816" customWidth="1"/>
    <col min="1800" max="1800" width="4" style="816" customWidth="1"/>
    <col min="1801" max="1801" width="8.85546875" style="816" customWidth="1"/>
    <col min="1802" max="1802" width="4.85546875" style="816" customWidth="1"/>
    <col min="1803" max="1803" width="3.7109375" style="816" customWidth="1"/>
    <col min="1804" max="1804" width="8.85546875" style="816" customWidth="1"/>
    <col min="1805" max="1805" width="4.7109375" style="816" customWidth="1"/>
    <col min="1806" max="1806" width="4.28515625" style="816" customWidth="1"/>
    <col min="1807" max="1807" width="11" style="816" customWidth="1"/>
    <col min="1808" max="1808" width="5.140625" style="816" customWidth="1"/>
    <col min="1809" max="2048" width="11.42578125" style="816"/>
    <col min="2049" max="2049" width="5.85546875" style="816" customWidth="1"/>
    <col min="2050" max="2050" width="32.5703125" style="816" customWidth="1"/>
    <col min="2051" max="2051" width="10.28515625" style="816" customWidth="1"/>
    <col min="2052" max="2052" width="4.5703125" style="816" customWidth="1"/>
    <col min="2053" max="2053" width="4.140625" style="816" customWidth="1"/>
    <col min="2054" max="2054" width="8.42578125" style="816" customWidth="1"/>
    <col min="2055" max="2055" width="4.7109375" style="816" customWidth="1"/>
    <col min="2056" max="2056" width="4" style="816" customWidth="1"/>
    <col min="2057" max="2057" width="8.85546875" style="816" customWidth="1"/>
    <col min="2058" max="2058" width="4.85546875" style="816" customWidth="1"/>
    <col min="2059" max="2059" width="3.7109375" style="816" customWidth="1"/>
    <col min="2060" max="2060" width="8.85546875" style="816" customWidth="1"/>
    <col min="2061" max="2061" width="4.7109375" style="816" customWidth="1"/>
    <col min="2062" max="2062" width="4.28515625" style="816" customWidth="1"/>
    <col min="2063" max="2063" width="11" style="816" customWidth="1"/>
    <col min="2064" max="2064" width="5.140625" style="816" customWidth="1"/>
    <col min="2065" max="2304" width="11.42578125" style="816"/>
    <col min="2305" max="2305" width="5.85546875" style="816" customWidth="1"/>
    <col min="2306" max="2306" width="32.5703125" style="816" customWidth="1"/>
    <col min="2307" max="2307" width="10.28515625" style="816" customWidth="1"/>
    <col min="2308" max="2308" width="4.5703125" style="816" customWidth="1"/>
    <col min="2309" max="2309" width="4.140625" style="816" customWidth="1"/>
    <col min="2310" max="2310" width="8.42578125" style="816" customWidth="1"/>
    <col min="2311" max="2311" width="4.7109375" style="816" customWidth="1"/>
    <col min="2312" max="2312" width="4" style="816" customWidth="1"/>
    <col min="2313" max="2313" width="8.85546875" style="816" customWidth="1"/>
    <col min="2314" max="2314" width="4.85546875" style="816" customWidth="1"/>
    <col min="2315" max="2315" width="3.7109375" style="816" customWidth="1"/>
    <col min="2316" max="2316" width="8.85546875" style="816" customWidth="1"/>
    <col min="2317" max="2317" width="4.7109375" style="816" customWidth="1"/>
    <col min="2318" max="2318" width="4.28515625" style="816" customWidth="1"/>
    <col min="2319" max="2319" width="11" style="816" customWidth="1"/>
    <col min="2320" max="2320" width="5.140625" style="816" customWidth="1"/>
    <col min="2321" max="2560" width="11.42578125" style="816"/>
    <col min="2561" max="2561" width="5.85546875" style="816" customWidth="1"/>
    <col min="2562" max="2562" width="32.5703125" style="816" customWidth="1"/>
    <col min="2563" max="2563" width="10.28515625" style="816" customWidth="1"/>
    <col min="2564" max="2564" width="4.5703125" style="816" customWidth="1"/>
    <col min="2565" max="2565" width="4.140625" style="816" customWidth="1"/>
    <col min="2566" max="2566" width="8.42578125" style="816" customWidth="1"/>
    <col min="2567" max="2567" width="4.7109375" style="816" customWidth="1"/>
    <col min="2568" max="2568" width="4" style="816" customWidth="1"/>
    <col min="2569" max="2569" width="8.85546875" style="816" customWidth="1"/>
    <col min="2570" max="2570" width="4.85546875" style="816" customWidth="1"/>
    <col min="2571" max="2571" width="3.7109375" style="816" customWidth="1"/>
    <col min="2572" max="2572" width="8.85546875" style="816" customWidth="1"/>
    <col min="2573" max="2573" width="4.7109375" style="816" customWidth="1"/>
    <col min="2574" max="2574" width="4.28515625" style="816" customWidth="1"/>
    <col min="2575" max="2575" width="11" style="816" customWidth="1"/>
    <col min="2576" max="2576" width="5.140625" style="816" customWidth="1"/>
    <col min="2577" max="2816" width="11.42578125" style="816"/>
    <col min="2817" max="2817" width="5.85546875" style="816" customWidth="1"/>
    <col min="2818" max="2818" width="32.5703125" style="816" customWidth="1"/>
    <col min="2819" max="2819" width="10.28515625" style="816" customWidth="1"/>
    <col min="2820" max="2820" width="4.5703125" style="816" customWidth="1"/>
    <col min="2821" max="2821" width="4.140625" style="816" customWidth="1"/>
    <col min="2822" max="2822" width="8.42578125" style="816" customWidth="1"/>
    <col min="2823" max="2823" width="4.7109375" style="816" customWidth="1"/>
    <col min="2824" max="2824" width="4" style="816" customWidth="1"/>
    <col min="2825" max="2825" width="8.85546875" style="816" customWidth="1"/>
    <col min="2826" max="2826" width="4.85546875" style="816" customWidth="1"/>
    <col min="2827" max="2827" width="3.7109375" style="816" customWidth="1"/>
    <col min="2828" max="2828" width="8.85546875" style="816" customWidth="1"/>
    <col min="2829" max="2829" width="4.7109375" style="816" customWidth="1"/>
    <col min="2830" max="2830" width="4.28515625" style="816" customWidth="1"/>
    <col min="2831" max="2831" width="11" style="816" customWidth="1"/>
    <col min="2832" max="2832" width="5.140625" style="816" customWidth="1"/>
    <col min="2833" max="3072" width="11.42578125" style="816"/>
    <col min="3073" max="3073" width="5.85546875" style="816" customWidth="1"/>
    <col min="3074" max="3074" width="32.5703125" style="816" customWidth="1"/>
    <col min="3075" max="3075" width="10.28515625" style="816" customWidth="1"/>
    <col min="3076" max="3076" width="4.5703125" style="816" customWidth="1"/>
    <col min="3077" max="3077" width="4.140625" style="816" customWidth="1"/>
    <col min="3078" max="3078" width="8.42578125" style="816" customWidth="1"/>
    <col min="3079" max="3079" width="4.7109375" style="816" customWidth="1"/>
    <col min="3080" max="3080" width="4" style="816" customWidth="1"/>
    <col min="3081" max="3081" width="8.85546875" style="816" customWidth="1"/>
    <col min="3082" max="3082" width="4.85546875" style="816" customWidth="1"/>
    <col min="3083" max="3083" width="3.7109375" style="816" customWidth="1"/>
    <col min="3084" max="3084" width="8.85546875" style="816" customWidth="1"/>
    <col min="3085" max="3085" width="4.7109375" style="816" customWidth="1"/>
    <col min="3086" max="3086" width="4.28515625" style="816" customWidth="1"/>
    <col min="3087" max="3087" width="11" style="816" customWidth="1"/>
    <col min="3088" max="3088" width="5.140625" style="816" customWidth="1"/>
    <col min="3089" max="3328" width="11.42578125" style="816"/>
    <col min="3329" max="3329" width="5.85546875" style="816" customWidth="1"/>
    <col min="3330" max="3330" width="32.5703125" style="816" customWidth="1"/>
    <col min="3331" max="3331" width="10.28515625" style="816" customWidth="1"/>
    <col min="3332" max="3332" width="4.5703125" style="816" customWidth="1"/>
    <col min="3333" max="3333" width="4.140625" style="816" customWidth="1"/>
    <col min="3334" max="3334" width="8.42578125" style="816" customWidth="1"/>
    <col min="3335" max="3335" width="4.7109375" style="816" customWidth="1"/>
    <col min="3336" max="3336" width="4" style="816" customWidth="1"/>
    <col min="3337" max="3337" width="8.85546875" style="816" customWidth="1"/>
    <col min="3338" max="3338" width="4.85546875" style="816" customWidth="1"/>
    <col min="3339" max="3339" width="3.7109375" style="816" customWidth="1"/>
    <col min="3340" max="3340" width="8.85546875" style="816" customWidth="1"/>
    <col min="3341" max="3341" width="4.7109375" style="816" customWidth="1"/>
    <col min="3342" max="3342" width="4.28515625" style="816" customWidth="1"/>
    <col min="3343" max="3343" width="11" style="816" customWidth="1"/>
    <col min="3344" max="3344" width="5.140625" style="816" customWidth="1"/>
    <col min="3345" max="3584" width="11.42578125" style="816"/>
    <col min="3585" max="3585" width="5.85546875" style="816" customWidth="1"/>
    <col min="3586" max="3586" width="32.5703125" style="816" customWidth="1"/>
    <col min="3587" max="3587" width="10.28515625" style="816" customWidth="1"/>
    <col min="3588" max="3588" width="4.5703125" style="816" customWidth="1"/>
    <col min="3589" max="3589" width="4.140625" style="816" customWidth="1"/>
    <col min="3590" max="3590" width="8.42578125" style="816" customWidth="1"/>
    <col min="3591" max="3591" width="4.7109375" style="816" customWidth="1"/>
    <col min="3592" max="3592" width="4" style="816" customWidth="1"/>
    <col min="3593" max="3593" width="8.85546875" style="816" customWidth="1"/>
    <col min="3594" max="3594" width="4.85546875" style="816" customWidth="1"/>
    <col min="3595" max="3595" width="3.7109375" style="816" customWidth="1"/>
    <col min="3596" max="3596" width="8.85546875" style="816" customWidth="1"/>
    <col min="3597" max="3597" width="4.7109375" style="816" customWidth="1"/>
    <col min="3598" max="3598" width="4.28515625" style="816" customWidth="1"/>
    <col min="3599" max="3599" width="11" style="816" customWidth="1"/>
    <col min="3600" max="3600" width="5.140625" style="816" customWidth="1"/>
    <col min="3601" max="3840" width="11.42578125" style="816"/>
    <col min="3841" max="3841" width="5.85546875" style="816" customWidth="1"/>
    <col min="3842" max="3842" width="32.5703125" style="816" customWidth="1"/>
    <col min="3843" max="3843" width="10.28515625" style="816" customWidth="1"/>
    <col min="3844" max="3844" width="4.5703125" style="816" customWidth="1"/>
    <col min="3845" max="3845" width="4.140625" style="816" customWidth="1"/>
    <col min="3846" max="3846" width="8.42578125" style="816" customWidth="1"/>
    <col min="3847" max="3847" width="4.7109375" style="816" customWidth="1"/>
    <col min="3848" max="3848" width="4" style="816" customWidth="1"/>
    <col min="3849" max="3849" width="8.85546875" style="816" customWidth="1"/>
    <col min="3850" max="3850" width="4.85546875" style="816" customWidth="1"/>
    <col min="3851" max="3851" width="3.7109375" style="816" customWidth="1"/>
    <col min="3852" max="3852" width="8.85546875" style="816" customWidth="1"/>
    <col min="3853" max="3853" width="4.7109375" style="816" customWidth="1"/>
    <col min="3854" max="3854" width="4.28515625" style="816" customWidth="1"/>
    <col min="3855" max="3855" width="11" style="816" customWidth="1"/>
    <col min="3856" max="3856" width="5.140625" style="816" customWidth="1"/>
    <col min="3857" max="4096" width="11.42578125" style="816"/>
    <col min="4097" max="4097" width="5.85546875" style="816" customWidth="1"/>
    <col min="4098" max="4098" width="32.5703125" style="816" customWidth="1"/>
    <col min="4099" max="4099" width="10.28515625" style="816" customWidth="1"/>
    <col min="4100" max="4100" width="4.5703125" style="816" customWidth="1"/>
    <col min="4101" max="4101" width="4.140625" style="816" customWidth="1"/>
    <col min="4102" max="4102" width="8.42578125" style="816" customWidth="1"/>
    <col min="4103" max="4103" width="4.7109375" style="816" customWidth="1"/>
    <col min="4104" max="4104" width="4" style="816" customWidth="1"/>
    <col min="4105" max="4105" width="8.85546875" style="816" customWidth="1"/>
    <col min="4106" max="4106" width="4.85546875" style="816" customWidth="1"/>
    <col min="4107" max="4107" width="3.7109375" style="816" customWidth="1"/>
    <col min="4108" max="4108" width="8.85546875" style="816" customWidth="1"/>
    <col min="4109" max="4109" width="4.7109375" style="816" customWidth="1"/>
    <col min="4110" max="4110" width="4.28515625" style="816" customWidth="1"/>
    <col min="4111" max="4111" width="11" style="816" customWidth="1"/>
    <col min="4112" max="4112" width="5.140625" style="816" customWidth="1"/>
    <col min="4113" max="4352" width="11.42578125" style="816"/>
    <col min="4353" max="4353" width="5.85546875" style="816" customWidth="1"/>
    <col min="4354" max="4354" width="32.5703125" style="816" customWidth="1"/>
    <col min="4355" max="4355" width="10.28515625" style="816" customWidth="1"/>
    <col min="4356" max="4356" width="4.5703125" style="816" customWidth="1"/>
    <col min="4357" max="4357" width="4.140625" style="816" customWidth="1"/>
    <col min="4358" max="4358" width="8.42578125" style="816" customWidth="1"/>
    <col min="4359" max="4359" width="4.7109375" style="816" customWidth="1"/>
    <col min="4360" max="4360" width="4" style="816" customWidth="1"/>
    <col min="4361" max="4361" width="8.85546875" style="816" customWidth="1"/>
    <col min="4362" max="4362" width="4.85546875" style="816" customWidth="1"/>
    <col min="4363" max="4363" width="3.7109375" style="816" customWidth="1"/>
    <col min="4364" max="4364" width="8.85546875" style="816" customWidth="1"/>
    <col min="4365" max="4365" width="4.7109375" style="816" customWidth="1"/>
    <col min="4366" max="4366" width="4.28515625" style="816" customWidth="1"/>
    <col min="4367" max="4367" width="11" style="816" customWidth="1"/>
    <col min="4368" max="4368" width="5.140625" style="816" customWidth="1"/>
    <col min="4369" max="4608" width="11.42578125" style="816"/>
    <col min="4609" max="4609" width="5.85546875" style="816" customWidth="1"/>
    <col min="4610" max="4610" width="32.5703125" style="816" customWidth="1"/>
    <col min="4611" max="4611" width="10.28515625" style="816" customWidth="1"/>
    <col min="4612" max="4612" width="4.5703125" style="816" customWidth="1"/>
    <col min="4613" max="4613" width="4.140625" style="816" customWidth="1"/>
    <col min="4614" max="4614" width="8.42578125" style="816" customWidth="1"/>
    <col min="4615" max="4615" width="4.7109375" style="816" customWidth="1"/>
    <col min="4616" max="4616" width="4" style="816" customWidth="1"/>
    <col min="4617" max="4617" width="8.85546875" style="816" customWidth="1"/>
    <col min="4618" max="4618" width="4.85546875" style="816" customWidth="1"/>
    <col min="4619" max="4619" width="3.7109375" style="816" customWidth="1"/>
    <col min="4620" max="4620" width="8.85546875" style="816" customWidth="1"/>
    <col min="4621" max="4621" width="4.7109375" style="816" customWidth="1"/>
    <col min="4622" max="4622" width="4.28515625" style="816" customWidth="1"/>
    <col min="4623" max="4623" width="11" style="816" customWidth="1"/>
    <col min="4624" max="4624" width="5.140625" style="816" customWidth="1"/>
    <col min="4625" max="4864" width="11.42578125" style="816"/>
    <col min="4865" max="4865" width="5.85546875" style="816" customWidth="1"/>
    <col min="4866" max="4866" width="32.5703125" style="816" customWidth="1"/>
    <col min="4867" max="4867" width="10.28515625" style="816" customWidth="1"/>
    <col min="4868" max="4868" width="4.5703125" style="816" customWidth="1"/>
    <col min="4869" max="4869" width="4.140625" style="816" customWidth="1"/>
    <col min="4870" max="4870" width="8.42578125" style="816" customWidth="1"/>
    <col min="4871" max="4871" width="4.7109375" style="816" customWidth="1"/>
    <col min="4872" max="4872" width="4" style="816" customWidth="1"/>
    <col min="4873" max="4873" width="8.85546875" style="816" customWidth="1"/>
    <col min="4874" max="4874" width="4.85546875" style="816" customWidth="1"/>
    <col min="4875" max="4875" width="3.7109375" style="816" customWidth="1"/>
    <col min="4876" max="4876" width="8.85546875" style="816" customWidth="1"/>
    <col min="4877" max="4877" width="4.7109375" style="816" customWidth="1"/>
    <col min="4878" max="4878" width="4.28515625" style="816" customWidth="1"/>
    <col min="4879" max="4879" width="11" style="816" customWidth="1"/>
    <col min="4880" max="4880" width="5.140625" style="816" customWidth="1"/>
    <col min="4881" max="5120" width="11.42578125" style="816"/>
    <col min="5121" max="5121" width="5.85546875" style="816" customWidth="1"/>
    <col min="5122" max="5122" width="32.5703125" style="816" customWidth="1"/>
    <col min="5123" max="5123" width="10.28515625" style="816" customWidth="1"/>
    <col min="5124" max="5124" width="4.5703125" style="816" customWidth="1"/>
    <col min="5125" max="5125" width="4.140625" style="816" customWidth="1"/>
    <col min="5126" max="5126" width="8.42578125" style="816" customWidth="1"/>
    <col min="5127" max="5127" width="4.7109375" style="816" customWidth="1"/>
    <col min="5128" max="5128" width="4" style="816" customWidth="1"/>
    <col min="5129" max="5129" width="8.85546875" style="816" customWidth="1"/>
    <col min="5130" max="5130" width="4.85546875" style="816" customWidth="1"/>
    <col min="5131" max="5131" width="3.7109375" style="816" customWidth="1"/>
    <col min="5132" max="5132" width="8.85546875" style="816" customWidth="1"/>
    <col min="5133" max="5133" width="4.7109375" style="816" customWidth="1"/>
    <col min="5134" max="5134" width="4.28515625" style="816" customWidth="1"/>
    <col min="5135" max="5135" width="11" style="816" customWidth="1"/>
    <col min="5136" max="5136" width="5.140625" style="816" customWidth="1"/>
    <col min="5137" max="5376" width="11.42578125" style="816"/>
    <col min="5377" max="5377" width="5.85546875" style="816" customWidth="1"/>
    <col min="5378" max="5378" width="32.5703125" style="816" customWidth="1"/>
    <col min="5379" max="5379" width="10.28515625" style="816" customWidth="1"/>
    <col min="5380" max="5380" width="4.5703125" style="816" customWidth="1"/>
    <col min="5381" max="5381" width="4.140625" style="816" customWidth="1"/>
    <col min="5382" max="5382" width="8.42578125" style="816" customWidth="1"/>
    <col min="5383" max="5383" width="4.7109375" style="816" customWidth="1"/>
    <col min="5384" max="5384" width="4" style="816" customWidth="1"/>
    <col min="5385" max="5385" width="8.85546875" style="816" customWidth="1"/>
    <col min="5386" max="5386" width="4.85546875" style="816" customWidth="1"/>
    <col min="5387" max="5387" width="3.7109375" style="816" customWidth="1"/>
    <col min="5388" max="5388" width="8.85546875" style="816" customWidth="1"/>
    <col min="5389" max="5389" width="4.7109375" style="816" customWidth="1"/>
    <col min="5390" max="5390" width="4.28515625" style="816" customWidth="1"/>
    <col min="5391" max="5391" width="11" style="816" customWidth="1"/>
    <col min="5392" max="5392" width="5.140625" style="816" customWidth="1"/>
    <col min="5393" max="5632" width="11.42578125" style="816"/>
    <col min="5633" max="5633" width="5.85546875" style="816" customWidth="1"/>
    <col min="5634" max="5634" width="32.5703125" style="816" customWidth="1"/>
    <col min="5635" max="5635" width="10.28515625" style="816" customWidth="1"/>
    <col min="5636" max="5636" width="4.5703125" style="816" customWidth="1"/>
    <col min="5637" max="5637" width="4.140625" style="816" customWidth="1"/>
    <col min="5638" max="5638" width="8.42578125" style="816" customWidth="1"/>
    <col min="5639" max="5639" width="4.7109375" style="816" customWidth="1"/>
    <col min="5640" max="5640" width="4" style="816" customWidth="1"/>
    <col min="5641" max="5641" width="8.85546875" style="816" customWidth="1"/>
    <col min="5642" max="5642" width="4.85546875" style="816" customWidth="1"/>
    <col min="5643" max="5643" width="3.7109375" style="816" customWidth="1"/>
    <col min="5644" max="5644" width="8.85546875" style="816" customWidth="1"/>
    <col min="5645" max="5645" width="4.7109375" style="816" customWidth="1"/>
    <col min="5646" max="5646" width="4.28515625" style="816" customWidth="1"/>
    <col min="5647" max="5647" width="11" style="816" customWidth="1"/>
    <col min="5648" max="5648" width="5.140625" style="816" customWidth="1"/>
    <col min="5649" max="5888" width="11.42578125" style="816"/>
    <col min="5889" max="5889" width="5.85546875" style="816" customWidth="1"/>
    <col min="5890" max="5890" width="32.5703125" style="816" customWidth="1"/>
    <col min="5891" max="5891" width="10.28515625" style="816" customWidth="1"/>
    <col min="5892" max="5892" width="4.5703125" style="816" customWidth="1"/>
    <col min="5893" max="5893" width="4.140625" style="816" customWidth="1"/>
    <col min="5894" max="5894" width="8.42578125" style="816" customWidth="1"/>
    <col min="5895" max="5895" width="4.7109375" style="816" customWidth="1"/>
    <col min="5896" max="5896" width="4" style="816" customWidth="1"/>
    <col min="5897" max="5897" width="8.85546875" style="816" customWidth="1"/>
    <col min="5898" max="5898" width="4.85546875" style="816" customWidth="1"/>
    <col min="5899" max="5899" width="3.7109375" style="816" customWidth="1"/>
    <col min="5900" max="5900" width="8.85546875" style="816" customWidth="1"/>
    <col min="5901" max="5901" width="4.7109375" style="816" customWidth="1"/>
    <col min="5902" max="5902" width="4.28515625" style="816" customWidth="1"/>
    <col min="5903" max="5903" width="11" style="816" customWidth="1"/>
    <col min="5904" max="5904" width="5.140625" style="816" customWidth="1"/>
    <col min="5905" max="6144" width="11.42578125" style="816"/>
    <col min="6145" max="6145" width="5.85546875" style="816" customWidth="1"/>
    <col min="6146" max="6146" width="32.5703125" style="816" customWidth="1"/>
    <col min="6147" max="6147" width="10.28515625" style="816" customWidth="1"/>
    <col min="6148" max="6148" width="4.5703125" style="816" customWidth="1"/>
    <col min="6149" max="6149" width="4.140625" style="816" customWidth="1"/>
    <col min="6150" max="6150" width="8.42578125" style="816" customWidth="1"/>
    <col min="6151" max="6151" width="4.7109375" style="816" customWidth="1"/>
    <col min="6152" max="6152" width="4" style="816" customWidth="1"/>
    <col min="6153" max="6153" width="8.85546875" style="816" customWidth="1"/>
    <col min="6154" max="6154" width="4.85546875" style="816" customWidth="1"/>
    <col min="6155" max="6155" width="3.7109375" style="816" customWidth="1"/>
    <col min="6156" max="6156" width="8.85546875" style="816" customWidth="1"/>
    <col min="6157" max="6157" width="4.7109375" style="816" customWidth="1"/>
    <col min="6158" max="6158" width="4.28515625" style="816" customWidth="1"/>
    <col min="6159" max="6159" width="11" style="816" customWidth="1"/>
    <col min="6160" max="6160" width="5.140625" style="816" customWidth="1"/>
    <col min="6161" max="6400" width="11.42578125" style="816"/>
    <col min="6401" max="6401" width="5.85546875" style="816" customWidth="1"/>
    <col min="6402" max="6402" width="32.5703125" style="816" customWidth="1"/>
    <col min="6403" max="6403" width="10.28515625" style="816" customWidth="1"/>
    <col min="6404" max="6404" width="4.5703125" style="816" customWidth="1"/>
    <col min="6405" max="6405" width="4.140625" style="816" customWidth="1"/>
    <col min="6406" max="6406" width="8.42578125" style="816" customWidth="1"/>
    <col min="6407" max="6407" width="4.7109375" style="816" customWidth="1"/>
    <col min="6408" max="6408" width="4" style="816" customWidth="1"/>
    <col min="6409" max="6409" width="8.85546875" style="816" customWidth="1"/>
    <col min="6410" max="6410" width="4.85546875" style="816" customWidth="1"/>
    <col min="6411" max="6411" width="3.7109375" style="816" customWidth="1"/>
    <col min="6412" max="6412" width="8.85546875" style="816" customWidth="1"/>
    <col min="6413" max="6413" width="4.7109375" style="816" customWidth="1"/>
    <col min="6414" max="6414" width="4.28515625" style="816" customWidth="1"/>
    <col min="6415" max="6415" width="11" style="816" customWidth="1"/>
    <col min="6416" max="6416" width="5.140625" style="816" customWidth="1"/>
    <col min="6417" max="6656" width="11.42578125" style="816"/>
    <col min="6657" max="6657" width="5.85546875" style="816" customWidth="1"/>
    <col min="6658" max="6658" width="32.5703125" style="816" customWidth="1"/>
    <col min="6659" max="6659" width="10.28515625" style="816" customWidth="1"/>
    <col min="6660" max="6660" width="4.5703125" style="816" customWidth="1"/>
    <col min="6661" max="6661" width="4.140625" style="816" customWidth="1"/>
    <col min="6662" max="6662" width="8.42578125" style="816" customWidth="1"/>
    <col min="6663" max="6663" width="4.7109375" style="816" customWidth="1"/>
    <col min="6664" max="6664" width="4" style="816" customWidth="1"/>
    <col min="6665" max="6665" width="8.85546875" style="816" customWidth="1"/>
    <col min="6666" max="6666" width="4.85546875" style="816" customWidth="1"/>
    <col min="6667" max="6667" width="3.7109375" style="816" customWidth="1"/>
    <col min="6668" max="6668" width="8.85546875" style="816" customWidth="1"/>
    <col min="6669" max="6669" width="4.7109375" style="816" customWidth="1"/>
    <col min="6670" max="6670" width="4.28515625" style="816" customWidth="1"/>
    <col min="6671" max="6671" width="11" style="816" customWidth="1"/>
    <col min="6672" max="6672" width="5.140625" style="816" customWidth="1"/>
    <col min="6673" max="6912" width="11.42578125" style="816"/>
    <col min="6913" max="6913" width="5.85546875" style="816" customWidth="1"/>
    <col min="6914" max="6914" width="32.5703125" style="816" customWidth="1"/>
    <col min="6915" max="6915" width="10.28515625" style="816" customWidth="1"/>
    <col min="6916" max="6916" width="4.5703125" style="816" customWidth="1"/>
    <col min="6917" max="6917" width="4.140625" style="816" customWidth="1"/>
    <col min="6918" max="6918" width="8.42578125" style="816" customWidth="1"/>
    <col min="6919" max="6919" width="4.7109375" style="816" customWidth="1"/>
    <col min="6920" max="6920" width="4" style="816" customWidth="1"/>
    <col min="6921" max="6921" width="8.85546875" style="816" customWidth="1"/>
    <col min="6922" max="6922" width="4.85546875" style="816" customWidth="1"/>
    <col min="6923" max="6923" width="3.7109375" style="816" customWidth="1"/>
    <col min="6924" max="6924" width="8.85546875" style="816" customWidth="1"/>
    <col min="6925" max="6925" width="4.7109375" style="816" customWidth="1"/>
    <col min="6926" max="6926" width="4.28515625" style="816" customWidth="1"/>
    <col min="6927" max="6927" width="11" style="816" customWidth="1"/>
    <col min="6928" max="6928" width="5.140625" style="816" customWidth="1"/>
    <col min="6929" max="7168" width="11.42578125" style="816"/>
    <col min="7169" max="7169" width="5.85546875" style="816" customWidth="1"/>
    <col min="7170" max="7170" width="32.5703125" style="816" customWidth="1"/>
    <col min="7171" max="7171" width="10.28515625" style="816" customWidth="1"/>
    <col min="7172" max="7172" width="4.5703125" style="816" customWidth="1"/>
    <col min="7173" max="7173" width="4.140625" style="816" customWidth="1"/>
    <col min="7174" max="7174" width="8.42578125" style="816" customWidth="1"/>
    <col min="7175" max="7175" width="4.7109375" style="816" customWidth="1"/>
    <col min="7176" max="7176" width="4" style="816" customWidth="1"/>
    <col min="7177" max="7177" width="8.85546875" style="816" customWidth="1"/>
    <col min="7178" max="7178" width="4.85546875" style="816" customWidth="1"/>
    <col min="7179" max="7179" width="3.7109375" style="816" customWidth="1"/>
    <col min="7180" max="7180" width="8.85546875" style="816" customWidth="1"/>
    <col min="7181" max="7181" width="4.7109375" style="816" customWidth="1"/>
    <col min="7182" max="7182" width="4.28515625" style="816" customWidth="1"/>
    <col min="7183" max="7183" width="11" style="816" customWidth="1"/>
    <col min="7184" max="7184" width="5.140625" style="816" customWidth="1"/>
    <col min="7185" max="7424" width="11.42578125" style="816"/>
    <col min="7425" max="7425" width="5.85546875" style="816" customWidth="1"/>
    <col min="7426" max="7426" width="32.5703125" style="816" customWidth="1"/>
    <col min="7427" max="7427" width="10.28515625" style="816" customWidth="1"/>
    <col min="7428" max="7428" width="4.5703125" style="816" customWidth="1"/>
    <col min="7429" max="7429" width="4.140625" style="816" customWidth="1"/>
    <col min="7430" max="7430" width="8.42578125" style="816" customWidth="1"/>
    <col min="7431" max="7431" width="4.7109375" style="816" customWidth="1"/>
    <col min="7432" max="7432" width="4" style="816" customWidth="1"/>
    <col min="7433" max="7433" width="8.85546875" style="816" customWidth="1"/>
    <col min="7434" max="7434" width="4.85546875" style="816" customWidth="1"/>
    <col min="7435" max="7435" width="3.7109375" style="816" customWidth="1"/>
    <col min="7436" max="7436" width="8.85546875" style="816" customWidth="1"/>
    <col min="7437" max="7437" width="4.7109375" style="816" customWidth="1"/>
    <col min="7438" max="7438" width="4.28515625" style="816" customWidth="1"/>
    <col min="7439" max="7439" width="11" style="816" customWidth="1"/>
    <col min="7440" max="7440" width="5.140625" style="816" customWidth="1"/>
    <col min="7441" max="7680" width="11.42578125" style="816"/>
    <col min="7681" max="7681" width="5.85546875" style="816" customWidth="1"/>
    <col min="7682" max="7682" width="32.5703125" style="816" customWidth="1"/>
    <col min="7683" max="7683" width="10.28515625" style="816" customWidth="1"/>
    <col min="7684" max="7684" width="4.5703125" style="816" customWidth="1"/>
    <col min="7685" max="7685" width="4.140625" style="816" customWidth="1"/>
    <col min="7686" max="7686" width="8.42578125" style="816" customWidth="1"/>
    <col min="7687" max="7687" width="4.7109375" style="816" customWidth="1"/>
    <col min="7688" max="7688" width="4" style="816" customWidth="1"/>
    <col min="7689" max="7689" width="8.85546875" style="816" customWidth="1"/>
    <col min="7690" max="7690" width="4.85546875" style="816" customWidth="1"/>
    <col min="7691" max="7691" width="3.7109375" style="816" customWidth="1"/>
    <col min="7692" max="7692" width="8.85546875" style="816" customWidth="1"/>
    <col min="7693" max="7693" width="4.7109375" style="816" customWidth="1"/>
    <col min="7694" max="7694" width="4.28515625" style="816" customWidth="1"/>
    <col min="7695" max="7695" width="11" style="816" customWidth="1"/>
    <col min="7696" max="7696" width="5.140625" style="816" customWidth="1"/>
    <col min="7697" max="7936" width="11.42578125" style="816"/>
    <col min="7937" max="7937" width="5.85546875" style="816" customWidth="1"/>
    <col min="7938" max="7938" width="32.5703125" style="816" customWidth="1"/>
    <col min="7939" max="7939" width="10.28515625" style="816" customWidth="1"/>
    <col min="7940" max="7940" width="4.5703125" style="816" customWidth="1"/>
    <col min="7941" max="7941" width="4.140625" style="816" customWidth="1"/>
    <col min="7942" max="7942" width="8.42578125" style="816" customWidth="1"/>
    <col min="7943" max="7943" width="4.7109375" style="816" customWidth="1"/>
    <col min="7944" max="7944" width="4" style="816" customWidth="1"/>
    <col min="7945" max="7945" width="8.85546875" style="816" customWidth="1"/>
    <col min="7946" max="7946" width="4.85546875" style="816" customWidth="1"/>
    <col min="7947" max="7947" width="3.7109375" style="816" customWidth="1"/>
    <col min="7948" max="7948" width="8.85546875" style="816" customWidth="1"/>
    <col min="7949" max="7949" width="4.7109375" style="816" customWidth="1"/>
    <col min="7950" max="7950" width="4.28515625" style="816" customWidth="1"/>
    <col min="7951" max="7951" width="11" style="816" customWidth="1"/>
    <col min="7952" max="7952" width="5.140625" style="816" customWidth="1"/>
    <col min="7953" max="8192" width="11.42578125" style="816"/>
    <col min="8193" max="8193" width="5.85546875" style="816" customWidth="1"/>
    <col min="8194" max="8194" width="32.5703125" style="816" customWidth="1"/>
    <col min="8195" max="8195" width="10.28515625" style="816" customWidth="1"/>
    <col min="8196" max="8196" width="4.5703125" style="816" customWidth="1"/>
    <col min="8197" max="8197" width="4.140625" style="816" customWidth="1"/>
    <col min="8198" max="8198" width="8.42578125" style="816" customWidth="1"/>
    <col min="8199" max="8199" width="4.7109375" style="816" customWidth="1"/>
    <col min="8200" max="8200" width="4" style="816" customWidth="1"/>
    <col min="8201" max="8201" width="8.85546875" style="816" customWidth="1"/>
    <col min="8202" max="8202" width="4.85546875" style="816" customWidth="1"/>
    <col min="8203" max="8203" width="3.7109375" style="816" customWidth="1"/>
    <col min="8204" max="8204" width="8.85546875" style="816" customWidth="1"/>
    <col min="8205" max="8205" width="4.7109375" style="816" customWidth="1"/>
    <col min="8206" max="8206" width="4.28515625" style="816" customWidth="1"/>
    <col min="8207" max="8207" width="11" style="816" customWidth="1"/>
    <col min="8208" max="8208" width="5.140625" style="816" customWidth="1"/>
    <col min="8209" max="8448" width="11.42578125" style="816"/>
    <col min="8449" max="8449" width="5.85546875" style="816" customWidth="1"/>
    <col min="8450" max="8450" width="32.5703125" style="816" customWidth="1"/>
    <col min="8451" max="8451" width="10.28515625" style="816" customWidth="1"/>
    <col min="8452" max="8452" width="4.5703125" style="816" customWidth="1"/>
    <col min="8453" max="8453" width="4.140625" style="816" customWidth="1"/>
    <col min="8454" max="8454" width="8.42578125" style="816" customWidth="1"/>
    <col min="8455" max="8455" width="4.7109375" style="816" customWidth="1"/>
    <col min="8456" max="8456" width="4" style="816" customWidth="1"/>
    <col min="8457" max="8457" width="8.85546875" style="816" customWidth="1"/>
    <col min="8458" max="8458" width="4.85546875" style="816" customWidth="1"/>
    <col min="8459" max="8459" width="3.7109375" style="816" customWidth="1"/>
    <col min="8460" max="8460" width="8.85546875" style="816" customWidth="1"/>
    <col min="8461" max="8461" width="4.7109375" style="816" customWidth="1"/>
    <col min="8462" max="8462" width="4.28515625" style="816" customWidth="1"/>
    <col min="8463" max="8463" width="11" style="816" customWidth="1"/>
    <col min="8464" max="8464" width="5.140625" style="816" customWidth="1"/>
    <col min="8465" max="8704" width="11.42578125" style="816"/>
    <col min="8705" max="8705" width="5.85546875" style="816" customWidth="1"/>
    <col min="8706" max="8706" width="32.5703125" style="816" customWidth="1"/>
    <col min="8707" max="8707" width="10.28515625" style="816" customWidth="1"/>
    <col min="8708" max="8708" width="4.5703125" style="816" customWidth="1"/>
    <col min="8709" max="8709" width="4.140625" style="816" customWidth="1"/>
    <col min="8710" max="8710" width="8.42578125" style="816" customWidth="1"/>
    <col min="8711" max="8711" width="4.7109375" style="816" customWidth="1"/>
    <col min="8712" max="8712" width="4" style="816" customWidth="1"/>
    <col min="8713" max="8713" width="8.85546875" style="816" customWidth="1"/>
    <col min="8714" max="8714" width="4.85546875" style="816" customWidth="1"/>
    <col min="8715" max="8715" width="3.7109375" style="816" customWidth="1"/>
    <col min="8716" max="8716" width="8.85546875" style="816" customWidth="1"/>
    <col min="8717" max="8717" width="4.7109375" style="816" customWidth="1"/>
    <col min="8718" max="8718" width="4.28515625" style="816" customWidth="1"/>
    <col min="8719" max="8719" width="11" style="816" customWidth="1"/>
    <col min="8720" max="8720" width="5.140625" style="816" customWidth="1"/>
    <col min="8721" max="8960" width="11.42578125" style="816"/>
    <col min="8961" max="8961" width="5.85546875" style="816" customWidth="1"/>
    <col min="8962" max="8962" width="32.5703125" style="816" customWidth="1"/>
    <col min="8963" max="8963" width="10.28515625" style="816" customWidth="1"/>
    <col min="8964" max="8964" width="4.5703125" style="816" customWidth="1"/>
    <col min="8965" max="8965" width="4.140625" style="816" customWidth="1"/>
    <col min="8966" max="8966" width="8.42578125" style="816" customWidth="1"/>
    <col min="8967" max="8967" width="4.7109375" style="816" customWidth="1"/>
    <col min="8968" max="8968" width="4" style="816" customWidth="1"/>
    <col min="8969" max="8969" width="8.85546875" style="816" customWidth="1"/>
    <col min="8970" max="8970" width="4.85546875" style="816" customWidth="1"/>
    <col min="8971" max="8971" width="3.7109375" style="816" customWidth="1"/>
    <col min="8972" max="8972" width="8.85546875" style="816" customWidth="1"/>
    <col min="8973" max="8973" width="4.7109375" style="816" customWidth="1"/>
    <col min="8974" max="8974" width="4.28515625" style="816" customWidth="1"/>
    <col min="8975" max="8975" width="11" style="816" customWidth="1"/>
    <col min="8976" max="8976" width="5.140625" style="816" customWidth="1"/>
    <col min="8977" max="9216" width="11.42578125" style="816"/>
    <col min="9217" max="9217" width="5.85546875" style="816" customWidth="1"/>
    <col min="9218" max="9218" width="32.5703125" style="816" customWidth="1"/>
    <col min="9219" max="9219" width="10.28515625" style="816" customWidth="1"/>
    <col min="9220" max="9220" width="4.5703125" style="816" customWidth="1"/>
    <col min="9221" max="9221" width="4.140625" style="816" customWidth="1"/>
    <col min="9222" max="9222" width="8.42578125" style="816" customWidth="1"/>
    <col min="9223" max="9223" width="4.7109375" style="816" customWidth="1"/>
    <col min="9224" max="9224" width="4" style="816" customWidth="1"/>
    <col min="9225" max="9225" width="8.85546875" style="816" customWidth="1"/>
    <col min="9226" max="9226" width="4.85546875" style="816" customWidth="1"/>
    <col min="9227" max="9227" width="3.7109375" style="816" customWidth="1"/>
    <col min="9228" max="9228" width="8.85546875" style="816" customWidth="1"/>
    <col min="9229" max="9229" width="4.7109375" style="816" customWidth="1"/>
    <col min="9230" max="9230" width="4.28515625" style="816" customWidth="1"/>
    <col min="9231" max="9231" width="11" style="816" customWidth="1"/>
    <col min="9232" max="9232" width="5.140625" style="816" customWidth="1"/>
    <col min="9233" max="9472" width="11.42578125" style="816"/>
    <col min="9473" max="9473" width="5.85546875" style="816" customWidth="1"/>
    <col min="9474" max="9474" width="32.5703125" style="816" customWidth="1"/>
    <col min="9475" max="9475" width="10.28515625" style="816" customWidth="1"/>
    <col min="9476" max="9476" width="4.5703125" style="816" customWidth="1"/>
    <col min="9477" max="9477" width="4.140625" style="816" customWidth="1"/>
    <col min="9478" max="9478" width="8.42578125" style="816" customWidth="1"/>
    <col min="9479" max="9479" width="4.7109375" style="816" customWidth="1"/>
    <col min="9480" max="9480" width="4" style="816" customWidth="1"/>
    <col min="9481" max="9481" width="8.85546875" style="816" customWidth="1"/>
    <col min="9482" max="9482" width="4.85546875" style="816" customWidth="1"/>
    <col min="9483" max="9483" width="3.7109375" style="816" customWidth="1"/>
    <col min="9484" max="9484" width="8.85546875" style="816" customWidth="1"/>
    <col min="9485" max="9485" width="4.7109375" style="816" customWidth="1"/>
    <col min="9486" max="9486" width="4.28515625" style="816" customWidth="1"/>
    <col min="9487" max="9487" width="11" style="816" customWidth="1"/>
    <col min="9488" max="9488" width="5.140625" style="816" customWidth="1"/>
    <col min="9489" max="9728" width="11.42578125" style="816"/>
    <col min="9729" max="9729" width="5.85546875" style="816" customWidth="1"/>
    <col min="9730" max="9730" width="32.5703125" style="816" customWidth="1"/>
    <col min="9731" max="9731" width="10.28515625" style="816" customWidth="1"/>
    <col min="9732" max="9732" width="4.5703125" style="816" customWidth="1"/>
    <col min="9733" max="9733" width="4.140625" style="816" customWidth="1"/>
    <col min="9734" max="9734" width="8.42578125" style="816" customWidth="1"/>
    <col min="9735" max="9735" width="4.7109375" style="816" customWidth="1"/>
    <col min="9736" max="9736" width="4" style="816" customWidth="1"/>
    <col min="9737" max="9737" width="8.85546875" style="816" customWidth="1"/>
    <col min="9738" max="9738" width="4.85546875" style="816" customWidth="1"/>
    <col min="9739" max="9739" width="3.7109375" style="816" customWidth="1"/>
    <col min="9740" max="9740" width="8.85546875" style="816" customWidth="1"/>
    <col min="9741" max="9741" width="4.7109375" style="816" customWidth="1"/>
    <col min="9742" max="9742" width="4.28515625" style="816" customWidth="1"/>
    <col min="9743" max="9743" width="11" style="816" customWidth="1"/>
    <col min="9744" max="9744" width="5.140625" style="816" customWidth="1"/>
    <col min="9745" max="9984" width="11.42578125" style="816"/>
    <col min="9985" max="9985" width="5.85546875" style="816" customWidth="1"/>
    <col min="9986" max="9986" width="32.5703125" style="816" customWidth="1"/>
    <col min="9987" max="9987" width="10.28515625" style="816" customWidth="1"/>
    <col min="9988" max="9988" width="4.5703125" style="816" customWidth="1"/>
    <col min="9989" max="9989" width="4.140625" style="816" customWidth="1"/>
    <col min="9990" max="9990" width="8.42578125" style="816" customWidth="1"/>
    <col min="9991" max="9991" width="4.7109375" style="816" customWidth="1"/>
    <col min="9992" max="9992" width="4" style="816" customWidth="1"/>
    <col min="9993" max="9993" width="8.85546875" style="816" customWidth="1"/>
    <col min="9994" max="9994" width="4.85546875" style="816" customWidth="1"/>
    <col min="9995" max="9995" width="3.7109375" style="816" customWidth="1"/>
    <col min="9996" max="9996" width="8.85546875" style="816" customWidth="1"/>
    <col min="9997" max="9997" width="4.7109375" style="816" customWidth="1"/>
    <col min="9998" max="9998" width="4.28515625" style="816" customWidth="1"/>
    <col min="9999" max="9999" width="11" style="816" customWidth="1"/>
    <col min="10000" max="10000" width="5.140625" style="816" customWidth="1"/>
    <col min="10001" max="10240" width="11.42578125" style="816"/>
    <col min="10241" max="10241" width="5.85546875" style="816" customWidth="1"/>
    <col min="10242" max="10242" width="32.5703125" style="816" customWidth="1"/>
    <col min="10243" max="10243" width="10.28515625" style="816" customWidth="1"/>
    <col min="10244" max="10244" width="4.5703125" style="816" customWidth="1"/>
    <col min="10245" max="10245" width="4.140625" style="816" customWidth="1"/>
    <col min="10246" max="10246" width="8.42578125" style="816" customWidth="1"/>
    <col min="10247" max="10247" width="4.7109375" style="816" customWidth="1"/>
    <col min="10248" max="10248" width="4" style="816" customWidth="1"/>
    <col min="10249" max="10249" width="8.85546875" style="816" customWidth="1"/>
    <col min="10250" max="10250" width="4.85546875" style="816" customWidth="1"/>
    <col min="10251" max="10251" width="3.7109375" style="816" customWidth="1"/>
    <col min="10252" max="10252" width="8.85546875" style="816" customWidth="1"/>
    <col min="10253" max="10253" width="4.7109375" style="816" customWidth="1"/>
    <col min="10254" max="10254" width="4.28515625" style="816" customWidth="1"/>
    <col min="10255" max="10255" width="11" style="816" customWidth="1"/>
    <col min="10256" max="10256" width="5.140625" style="816" customWidth="1"/>
    <col min="10257" max="10496" width="11.42578125" style="816"/>
    <col min="10497" max="10497" width="5.85546875" style="816" customWidth="1"/>
    <col min="10498" max="10498" width="32.5703125" style="816" customWidth="1"/>
    <col min="10499" max="10499" width="10.28515625" style="816" customWidth="1"/>
    <col min="10500" max="10500" width="4.5703125" style="816" customWidth="1"/>
    <col min="10501" max="10501" width="4.140625" style="816" customWidth="1"/>
    <col min="10502" max="10502" width="8.42578125" style="816" customWidth="1"/>
    <col min="10503" max="10503" width="4.7109375" style="816" customWidth="1"/>
    <col min="10504" max="10504" width="4" style="816" customWidth="1"/>
    <col min="10505" max="10505" width="8.85546875" style="816" customWidth="1"/>
    <col min="10506" max="10506" width="4.85546875" style="816" customWidth="1"/>
    <col min="10507" max="10507" width="3.7109375" style="816" customWidth="1"/>
    <col min="10508" max="10508" width="8.85546875" style="816" customWidth="1"/>
    <col min="10509" max="10509" width="4.7109375" style="816" customWidth="1"/>
    <col min="10510" max="10510" width="4.28515625" style="816" customWidth="1"/>
    <col min="10511" max="10511" width="11" style="816" customWidth="1"/>
    <col min="10512" max="10512" width="5.140625" style="816" customWidth="1"/>
    <col min="10513" max="10752" width="11.42578125" style="816"/>
    <col min="10753" max="10753" width="5.85546875" style="816" customWidth="1"/>
    <col min="10754" max="10754" width="32.5703125" style="816" customWidth="1"/>
    <col min="10755" max="10755" width="10.28515625" style="816" customWidth="1"/>
    <col min="10756" max="10756" width="4.5703125" style="816" customWidth="1"/>
    <col min="10757" max="10757" width="4.140625" style="816" customWidth="1"/>
    <col min="10758" max="10758" width="8.42578125" style="816" customWidth="1"/>
    <col min="10759" max="10759" width="4.7109375" style="816" customWidth="1"/>
    <col min="10760" max="10760" width="4" style="816" customWidth="1"/>
    <col min="10761" max="10761" width="8.85546875" style="816" customWidth="1"/>
    <col min="10762" max="10762" width="4.85546875" style="816" customWidth="1"/>
    <col min="10763" max="10763" width="3.7109375" style="816" customWidth="1"/>
    <col min="10764" max="10764" width="8.85546875" style="816" customWidth="1"/>
    <col min="10765" max="10765" width="4.7109375" style="816" customWidth="1"/>
    <col min="10766" max="10766" width="4.28515625" style="816" customWidth="1"/>
    <col min="10767" max="10767" width="11" style="816" customWidth="1"/>
    <col min="10768" max="10768" width="5.140625" style="816" customWidth="1"/>
    <col min="10769" max="11008" width="11.42578125" style="816"/>
    <col min="11009" max="11009" width="5.85546875" style="816" customWidth="1"/>
    <col min="11010" max="11010" width="32.5703125" style="816" customWidth="1"/>
    <col min="11011" max="11011" width="10.28515625" style="816" customWidth="1"/>
    <col min="11012" max="11012" width="4.5703125" style="816" customWidth="1"/>
    <col min="11013" max="11013" width="4.140625" style="816" customWidth="1"/>
    <col min="11014" max="11014" width="8.42578125" style="816" customWidth="1"/>
    <col min="11015" max="11015" width="4.7109375" style="816" customWidth="1"/>
    <col min="11016" max="11016" width="4" style="816" customWidth="1"/>
    <col min="11017" max="11017" width="8.85546875" style="816" customWidth="1"/>
    <col min="11018" max="11018" width="4.85546875" style="816" customWidth="1"/>
    <col min="11019" max="11019" width="3.7109375" style="816" customWidth="1"/>
    <col min="11020" max="11020" width="8.85546875" style="816" customWidth="1"/>
    <col min="11021" max="11021" width="4.7109375" style="816" customWidth="1"/>
    <col min="11022" max="11022" width="4.28515625" style="816" customWidth="1"/>
    <col min="11023" max="11023" width="11" style="816" customWidth="1"/>
    <col min="11024" max="11024" width="5.140625" style="816" customWidth="1"/>
    <col min="11025" max="11264" width="11.42578125" style="816"/>
    <col min="11265" max="11265" width="5.85546875" style="816" customWidth="1"/>
    <col min="11266" max="11266" width="32.5703125" style="816" customWidth="1"/>
    <col min="11267" max="11267" width="10.28515625" style="816" customWidth="1"/>
    <col min="11268" max="11268" width="4.5703125" style="816" customWidth="1"/>
    <col min="11269" max="11269" width="4.140625" style="816" customWidth="1"/>
    <col min="11270" max="11270" width="8.42578125" style="816" customWidth="1"/>
    <col min="11271" max="11271" width="4.7109375" style="816" customWidth="1"/>
    <col min="11272" max="11272" width="4" style="816" customWidth="1"/>
    <col min="11273" max="11273" width="8.85546875" style="816" customWidth="1"/>
    <col min="11274" max="11274" width="4.85546875" style="816" customWidth="1"/>
    <col min="11275" max="11275" width="3.7109375" style="816" customWidth="1"/>
    <col min="11276" max="11276" width="8.85546875" style="816" customWidth="1"/>
    <col min="11277" max="11277" width="4.7109375" style="816" customWidth="1"/>
    <col min="11278" max="11278" width="4.28515625" style="816" customWidth="1"/>
    <col min="11279" max="11279" width="11" style="816" customWidth="1"/>
    <col min="11280" max="11280" width="5.140625" style="816" customWidth="1"/>
    <col min="11281" max="11520" width="11.42578125" style="816"/>
    <col min="11521" max="11521" width="5.85546875" style="816" customWidth="1"/>
    <col min="11522" max="11522" width="32.5703125" style="816" customWidth="1"/>
    <col min="11523" max="11523" width="10.28515625" style="816" customWidth="1"/>
    <col min="11524" max="11524" width="4.5703125" style="816" customWidth="1"/>
    <col min="11525" max="11525" width="4.140625" style="816" customWidth="1"/>
    <col min="11526" max="11526" width="8.42578125" style="816" customWidth="1"/>
    <col min="11527" max="11527" width="4.7109375" style="816" customWidth="1"/>
    <col min="11528" max="11528" width="4" style="816" customWidth="1"/>
    <col min="11529" max="11529" width="8.85546875" style="816" customWidth="1"/>
    <col min="11530" max="11530" width="4.85546875" style="816" customWidth="1"/>
    <col min="11531" max="11531" width="3.7109375" style="816" customWidth="1"/>
    <col min="11532" max="11532" width="8.85546875" style="816" customWidth="1"/>
    <col min="11533" max="11533" width="4.7109375" style="816" customWidth="1"/>
    <col min="11534" max="11534" width="4.28515625" style="816" customWidth="1"/>
    <col min="11535" max="11535" width="11" style="816" customWidth="1"/>
    <col min="11536" max="11536" width="5.140625" style="816" customWidth="1"/>
    <col min="11537" max="11776" width="11.42578125" style="816"/>
    <col min="11777" max="11777" width="5.85546875" style="816" customWidth="1"/>
    <col min="11778" max="11778" width="32.5703125" style="816" customWidth="1"/>
    <col min="11779" max="11779" width="10.28515625" style="816" customWidth="1"/>
    <col min="11780" max="11780" width="4.5703125" style="816" customWidth="1"/>
    <col min="11781" max="11781" width="4.140625" style="816" customWidth="1"/>
    <col min="11782" max="11782" width="8.42578125" style="816" customWidth="1"/>
    <col min="11783" max="11783" width="4.7109375" style="816" customWidth="1"/>
    <col min="11784" max="11784" width="4" style="816" customWidth="1"/>
    <col min="11785" max="11785" width="8.85546875" style="816" customWidth="1"/>
    <col min="11786" max="11786" width="4.85546875" style="816" customWidth="1"/>
    <col min="11787" max="11787" width="3.7109375" style="816" customWidth="1"/>
    <col min="11788" max="11788" width="8.85546875" style="816" customWidth="1"/>
    <col min="11789" max="11789" width="4.7109375" style="816" customWidth="1"/>
    <col min="11790" max="11790" width="4.28515625" style="816" customWidth="1"/>
    <col min="11791" max="11791" width="11" style="816" customWidth="1"/>
    <col min="11792" max="11792" width="5.140625" style="816" customWidth="1"/>
    <col min="11793" max="12032" width="11.42578125" style="816"/>
    <col min="12033" max="12033" width="5.85546875" style="816" customWidth="1"/>
    <col min="12034" max="12034" width="32.5703125" style="816" customWidth="1"/>
    <col min="12035" max="12035" width="10.28515625" style="816" customWidth="1"/>
    <col min="12036" max="12036" width="4.5703125" style="816" customWidth="1"/>
    <col min="12037" max="12037" width="4.140625" style="816" customWidth="1"/>
    <col min="12038" max="12038" width="8.42578125" style="816" customWidth="1"/>
    <col min="12039" max="12039" width="4.7109375" style="816" customWidth="1"/>
    <col min="12040" max="12040" width="4" style="816" customWidth="1"/>
    <col min="12041" max="12041" width="8.85546875" style="816" customWidth="1"/>
    <col min="12042" max="12042" width="4.85546875" style="816" customWidth="1"/>
    <col min="12043" max="12043" width="3.7109375" style="816" customWidth="1"/>
    <col min="12044" max="12044" width="8.85546875" style="816" customWidth="1"/>
    <col min="12045" max="12045" width="4.7109375" style="816" customWidth="1"/>
    <col min="12046" max="12046" width="4.28515625" style="816" customWidth="1"/>
    <col min="12047" max="12047" width="11" style="816" customWidth="1"/>
    <col min="12048" max="12048" width="5.140625" style="816" customWidth="1"/>
    <col min="12049" max="12288" width="11.42578125" style="816"/>
    <col min="12289" max="12289" width="5.85546875" style="816" customWidth="1"/>
    <col min="12290" max="12290" width="32.5703125" style="816" customWidth="1"/>
    <col min="12291" max="12291" width="10.28515625" style="816" customWidth="1"/>
    <col min="12292" max="12292" width="4.5703125" style="816" customWidth="1"/>
    <col min="12293" max="12293" width="4.140625" style="816" customWidth="1"/>
    <col min="12294" max="12294" width="8.42578125" style="816" customWidth="1"/>
    <col min="12295" max="12295" width="4.7109375" style="816" customWidth="1"/>
    <col min="12296" max="12296" width="4" style="816" customWidth="1"/>
    <col min="12297" max="12297" width="8.85546875" style="816" customWidth="1"/>
    <col min="12298" max="12298" width="4.85546875" style="816" customWidth="1"/>
    <col min="12299" max="12299" width="3.7109375" style="816" customWidth="1"/>
    <col min="12300" max="12300" width="8.85546875" style="816" customWidth="1"/>
    <col min="12301" max="12301" width="4.7109375" style="816" customWidth="1"/>
    <col min="12302" max="12302" width="4.28515625" style="816" customWidth="1"/>
    <col min="12303" max="12303" width="11" style="816" customWidth="1"/>
    <col min="12304" max="12304" width="5.140625" style="816" customWidth="1"/>
    <col min="12305" max="12544" width="11.42578125" style="816"/>
    <col min="12545" max="12545" width="5.85546875" style="816" customWidth="1"/>
    <col min="12546" max="12546" width="32.5703125" style="816" customWidth="1"/>
    <col min="12547" max="12547" width="10.28515625" style="816" customWidth="1"/>
    <col min="12548" max="12548" width="4.5703125" style="816" customWidth="1"/>
    <col min="12549" max="12549" width="4.140625" style="816" customWidth="1"/>
    <col min="12550" max="12550" width="8.42578125" style="816" customWidth="1"/>
    <col min="12551" max="12551" width="4.7109375" style="816" customWidth="1"/>
    <col min="12552" max="12552" width="4" style="816" customWidth="1"/>
    <col min="12553" max="12553" width="8.85546875" style="816" customWidth="1"/>
    <col min="12554" max="12554" width="4.85546875" style="816" customWidth="1"/>
    <col min="12555" max="12555" width="3.7109375" style="816" customWidth="1"/>
    <col min="12556" max="12556" width="8.85546875" style="816" customWidth="1"/>
    <col min="12557" max="12557" width="4.7109375" style="816" customWidth="1"/>
    <col min="12558" max="12558" width="4.28515625" style="816" customWidth="1"/>
    <col min="12559" max="12559" width="11" style="816" customWidth="1"/>
    <col min="12560" max="12560" width="5.140625" style="816" customWidth="1"/>
    <col min="12561" max="12800" width="11.42578125" style="816"/>
    <col min="12801" max="12801" width="5.85546875" style="816" customWidth="1"/>
    <col min="12802" max="12802" width="32.5703125" style="816" customWidth="1"/>
    <col min="12803" max="12803" width="10.28515625" style="816" customWidth="1"/>
    <col min="12804" max="12804" width="4.5703125" style="816" customWidth="1"/>
    <col min="12805" max="12805" width="4.140625" style="816" customWidth="1"/>
    <col min="12806" max="12806" width="8.42578125" style="816" customWidth="1"/>
    <col min="12807" max="12807" width="4.7109375" style="816" customWidth="1"/>
    <col min="12808" max="12808" width="4" style="816" customWidth="1"/>
    <col min="12809" max="12809" width="8.85546875" style="816" customWidth="1"/>
    <col min="12810" max="12810" width="4.85546875" style="816" customWidth="1"/>
    <col min="12811" max="12811" width="3.7109375" style="816" customWidth="1"/>
    <col min="12812" max="12812" width="8.85546875" style="816" customWidth="1"/>
    <col min="12813" max="12813" width="4.7109375" style="816" customWidth="1"/>
    <col min="12814" max="12814" width="4.28515625" style="816" customWidth="1"/>
    <col min="12815" max="12815" width="11" style="816" customWidth="1"/>
    <col min="12816" max="12816" width="5.140625" style="816" customWidth="1"/>
    <col min="12817" max="13056" width="11.42578125" style="816"/>
    <col min="13057" max="13057" width="5.85546875" style="816" customWidth="1"/>
    <col min="13058" max="13058" width="32.5703125" style="816" customWidth="1"/>
    <col min="13059" max="13059" width="10.28515625" style="816" customWidth="1"/>
    <col min="13060" max="13060" width="4.5703125" style="816" customWidth="1"/>
    <col min="13061" max="13061" width="4.140625" style="816" customWidth="1"/>
    <col min="13062" max="13062" width="8.42578125" style="816" customWidth="1"/>
    <col min="13063" max="13063" width="4.7109375" style="816" customWidth="1"/>
    <col min="13064" max="13064" width="4" style="816" customWidth="1"/>
    <col min="13065" max="13065" width="8.85546875" style="816" customWidth="1"/>
    <col min="13066" max="13066" width="4.85546875" style="816" customWidth="1"/>
    <col min="13067" max="13067" width="3.7109375" style="816" customWidth="1"/>
    <col min="13068" max="13068" width="8.85546875" style="816" customWidth="1"/>
    <col min="13069" max="13069" width="4.7109375" style="816" customWidth="1"/>
    <col min="13070" max="13070" width="4.28515625" style="816" customWidth="1"/>
    <col min="13071" max="13071" width="11" style="816" customWidth="1"/>
    <col min="13072" max="13072" width="5.140625" style="816" customWidth="1"/>
    <col min="13073" max="13312" width="11.42578125" style="816"/>
    <col min="13313" max="13313" width="5.85546875" style="816" customWidth="1"/>
    <col min="13314" max="13314" width="32.5703125" style="816" customWidth="1"/>
    <col min="13315" max="13315" width="10.28515625" style="816" customWidth="1"/>
    <col min="13316" max="13316" width="4.5703125" style="816" customWidth="1"/>
    <col min="13317" max="13317" width="4.140625" style="816" customWidth="1"/>
    <col min="13318" max="13318" width="8.42578125" style="816" customWidth="1"/>
    <col min="13319" max="13319" width="4.7109375" style="816" customWidth="1"/>
    <col min="13320" max="13320" width="4" style="816" customWidth="1"/>
    <col min="13321" max="13321" width="8.85546875" style="816" customWidth="1"/>
    <col min="13322" max="13322" width="4.85546875" style="816" customWidth="1"/>
    <col min="13323" max="13323" width="3.7109375" style="816" customWidth="1"/>
    <col min="13324" max="13324" width="8.85546875" style="816" customWidth="1"/>
    <col min="13325" max="13325" width="4.7109375" style="816" customWidth="1"/>
    <col min="13326" max="13326" width="4.28515625" style="816" customWidth="1"/>
    <col min="13327" max="13327" width="11" style="816" customWidth="1"/>
    <col min="13328" max="13328" width="5.140625" style="816" customWidth="1"/>
    <col min="13329" max="13568" width="11.42578125" style="816"/>
    <col min="13569" max="13569" width="5.85546875" style="816" customWidth="1"/>
    <col min="13570" max="13570" width="32.5703125" style="816" customWidth="1"/>
    <col min="13571" max="13571" width="10.28515625" style="816" customWidth="1"/>
    <col min="13572" max="13572" width="4.5703125" style="816" customWidth="1"/>
    <col min="13573" max="13573" width="4.140625" style="816" customWidth="1"/>
    <col min="13574" max="13574" width="8.42578125" style="816" customWidth="1"/>
    <col min="13575" max="13575" width="4.7109375" style="816" customWidth="1"/>
    <col min="13576" max="13576" width="4" style="816" customWidth="1"/>
    <col min="13577" max="13577" width="8.85546875" style="816" customWidth="1"/>
    <col min="13578" max="13578" width="4.85546875" style="816" customWidth="1"/>
    <col min="13579" max="13579" width="3.7109375" style="816" customWidth="1"/>
    <col min="13580" max="13580" width="8.85546875" style="816" customWidth="1"/>
    <col min="13581" max="13581" width="4.7109375" style="816" customWidth="1"/>
    <col min="13582" max="13582" width="4.28515625" style="816" customWidth="1"/>
    <col min="13583" max="13583" width="11" style="816" customWidth="1"/>
    <col min="13584" max="13584" width="5.140625" style="816" customWidth="1"/>
    <col min="13585" max="13824" width="11.42578125" style="816"/>
    <col min="13825" max="13825" width="5.85546875" style="816" customWidth="1"/>
    <col min="13826" max="13826" width="32.5703125" style="816" customWidth="1"/>
    <col min="13827" max="13827" width="10.28515625" style="816" customWidth="1"/>
    <col min="13828" max="13828" width="4.5703125" style="816" customWidth="1"/>
    <col min="13829" max="13829" width="4.140625" style="816" customWidth="1"/>
    <col min="13830" max="13830" width="8.42578125" style="816" customWidth="1"/>
    <col min="13831" max="13831" width="4.7109375" style="816" customWidth="1"/>
    <col min="13832" max="13832" width="4" style="816" customWidth="1"/>
    <col min="13833" max="13833" width="8.85546875" style="816" customWidth="1"/>
    <col min="13834" max="13834" width="4.85546875" style="816" customWidth="1"/>
    <col min="13835" max="13835" width="3.7109375" style="816" customWidth="1"/>
    <col min="13836" max="13836" width="8.85546875" style="816" customWidth="1"/>
    <col min="13837" max="13837" width="4.7109375" style="816" customWidth="1"/>
    <col min="13838" max="13838" width="4.28515625" style="816" customWidth="1"/>
    <col min="13839" max="13839" width="11" style="816" customWidth="1"/>
    <col min="13840" max="13840" width="5.140625" style="816" customWidth="1"/>
    <col min="13841" max="14080" width="11.42578125" style="816"/>
    <col min="14081" max="14081" width="5.85546875" style="816" customWidth="1"/>
    <col min="14082" max="14082" width="32.5703125" style="816" customWidth="1"/>
    <col min="14083" max="14083" width="10.28515625" style="816" customWidth="1"/>
    <col min="14084" max="14084" width="4.5703125" style="816" customWidth="1"/>
    <col min="14085" max="14085" width="4.140625" style="816" customWidth="1"/>
    <col min="14086" max="14086" width="8.42578125" style="816" customWidth="1"/>
    <col min="14087" max="14087" width="4.7109375" style="816" customWidth="1"/>
    <col min="14088" max="14088" width="4" style="816" customWidth="1"/>
    <col min="14089" max="14089" width="8.85546875" style="816" customWidth="1"/>
    <col min="14090" max="14090" width="4.85546875" style="816" customWidth="1"/>
    <col min="14091" max="14091" width="3.7109375" style="816" customWidth="1"/>
    <col min="14092" max="14092" width="8.85546875" style="816" customWidth="1"/>
    <col min="14093" max="14093" width="4.7109375" style="816" customWidth="1"/>
    <col min="14094" max="14094" width="4.28515625" style="816" customWidth="1"/>
    <col min="14095" max="14095" width="11" style="816" customWidth="1"/>
    <col min="14096" max="14096" width="5.140625" style="816" customWidth="1"/>
    <col min="14097" max="14336" width="11.42578125" style="816"/>
    <col min="14337" max="14337" width="5.85546875" style="816" customWidth="1"/>
    <col min="14338" max="14338" width="32.5703125" style="816" customWidth="1"/>
    <col min="14339" max="14339" width="10.28515625" style="816" customWidth="1"/>
    <col min="14340" max="14340" width="4.5703125" style="816" customWidth="1"/>
    <col min="14341" max="14341" width="4.140625" style="816" customWidth="1"/>
    <col min="14342" max="14342" width="8.42578125" style="816" customWidth="1"/>
    <col min="14343" max="14343" width="4.7109375" style="816" customWidth="1"/>
    <col min="14344" max="14344" width="4" style="816" customWidth="1"/>
    <col min="14345" max="14345" width="8.85546875" style="816" customWidth="1"/>
    <col min="14346" max="14346" width="4.85546875" style="816" customWidth="1"/>
    <col min="14347" max="14347" width="3.7109375" style="816" customWidth="1"/>
    <col min="14348" max="14348" width="8.85546875" style="816" customWidth="1"/>
    <col min="14349" max="14349" width="4.7109375" style="816" customWidth="1"/>
    <col min="14350" max="14350" width="4.28515625" style="816" customWidth="1"/>
    <col min="14351" max="14351" width="11" style="816" customWidth="1"/>
    <col min="14352" max="14352" width="5.140625" style="816" customWidth="1"/>
    <col min="14353" max="14592" width="11.42578125" style="816"/>
    <col min="14593" max="14593" width="5.85546875" style="816" customWidth="1"/>
    <col min="14594" max="14594" width="32.5703125" style="816" customWidth="1"/>
    <col min="14595" max="14595" width="10.28515625" style="816" customWidth="1"/>
    <col min="14596" max="14596" width="4.5703125" style="816" customWidth="1"/>
    <col min="14597" max="14597" width="4.140625" style="816" customWidth="1"/>
    <col min="14598" max="14598" width="8.42578125" style="816" customWidth="1"/>
    <col min="14599" max="14599" width="4.7109375" style="816" customWidth="1"/>
    <col min="14600" max="14600" width="4" style="816" customWidth="1"/>
    <col min="14601" max="14601" width="8.85546875" style="816" customWidth="1"/>
    <col min="14602" max="14602" width="4.85546875" style="816" customWidth="1"/>
    <col min="14603" max="14603" width="3.7109375" style="816" customWidth="1"/>
    <col min="14604" max="14604" width="8.85546875" style="816" customWidth="1"/>
    <col min="14605" max="14605" width="4.7109375" style="816" customWidth="1"/>
    <col min="14606" max="14606" width="4.28515625" style="816" customWidth="1"/>
    <col min="14607" max="14607" width="11" style="816" customWidth="1"/>
    <col min="14608" max="14608" width="5.140625" style="816" customWidth="1"/>
    <col min="14609" max="14848" width="11.42578125" style="816"/>
    <col min="14849" max="14849" width="5.85546875" style="816" customWidth="1"/>
    <col min="14850" max="14850" width="32.5703125" style="816" customWidth="1"/>
    <col min="14851" max="14851" width="10.28515625" style="816" customWidth="1"/>
    <col min="14852" max="14852" width="4.5703125" style="816" customWidth="1"/>
    <col min="14853" max="14853" width="4.140625" style="816" customWidth="1"/>
    <col min="14854" max="14854" width="8.42578125" style="816" customWidth="1"/>
    <col min="14855" max="14855" width="4.7109375" style="816" customWidth="1"/>
    <col min="14856" max="14856" width="4" style="816" customWidth="1"/>
    <col min="14857" max="14857" width="8.85546875" style="816" customWidth="1"/>
    <col min="14858" max="14858" width="4.85546875" style="816" customWidth="1"/>
    <col min="14859" max="14859" width="3.7109375" style="816" customWidth="1"/>
    <col min="14860" max="14860" width="8.85546875" style="816" customWidth="1"/>
    <col min="14861" max="14861" width="4.7109375" style="816" customWidth="1"/>
    <col min="14862" max="14862" width="4.28515625" style="816" customWidth="1"/>
    <col min="14863" max="14863" width="11" style="816" customWidth="1"/>
    <col min="14864" max="14864" width="5.140625" style="816" customWidth="1"/>
    <col min="14865" max="15104" width="11.42578125" style="816"/>
    <col min="15105" max="15105" width="5.85546875" style="816" customWidth="1"/>
    <col min="15106" max="15106" width="32.5703125" style="816" customWidth="1"/>
    <col min="15107" max="15107" width="10.28515625" style="816" customWidth="1"/>
    <col min="15108" max="15108" width="4.5703125" style="816" customWidth="1"/>
    <col min="15109" max="15109" width="4.140625" style="816" customWidth="1"/>
    <col min="15110" max="15110" width="8.42578125" style="816" customWidth="1"/>
    <col min="15111" max="15111" width="4.7109375" style="816" customWidth="1"/>
    <col min="15112" max="15112" width="4" style="816" customWidth="1"/>
    <col min="15113" max="15113" width="8.85546875" style="816" customWidth="1"/>
    <col min="15114" max="15114" width="4.85546875" style="816" customWidth="1"/>
    <col min="15115" max="15115" width="3.7109375" style="816" customWidth="1"/>
    <col min="15116" max="15116" width="8.85546875" style="816" customWidth="1"/>
    <col min="15117" max="15117" width="4.7109375" style="816" customWidth="1"/>
    <col min="15118" max="15118" width="4.28515625" style="816" customWidth="1"/>
    <col min="15119" max="15119" width="11" style="816" customWidth="1"/>
    <col min="15120" max="15120" width="5.140625" style="816" customWidth="1"/>
    <col min="15121" max="15360" width="11.42578125" style="816"/>
    <col min="15361" max="15361" width="5.85546875" style="816" customWidth="1"/>
    <col min="15362" max="15362" width="32.5703125" style="816" customWidth="1"/>
    <col min="15363" max="15363" width="10.28515625" style="816" customWidth="1"/>
    <col min="15364" max="15364" width="4.5703125" style="816" customWidth="1"/>
    <col min="15365" max="15365" width="4.140625" style="816" customWidth="1"/>
    <col min="15366" max="15366" width="8.42578125" style="816" customWidth="1"/>
    <col min="15367" max="15367" width="4.7109375" style="816" customWidth="1"/>
    <col min="15368" max="15368" width="4" style="816" customWidth="1"/>
    <col min="15369" max="15369" width="8.85546875" style="816" customWidth="1"/>
    <col min="15370" max="15370" width="4.85546875" style="816" customWidth="1"/>
    <col min="15371" max="15371" width="3.7109375" style="816" customWidth="1"/>
    <col min="15372" max="15372" width="8.85546875" style="816" customWidth="1"/>
    <col min="15373" max="15373" width="4.7109375" style="816" customWidth="1"/>
    <col min="15374" max="15374" width="4.28515625" style="816" customWidth="1"/>
    <col min="15375" max="15375" width="11" style="816" customWidth="1"/>
    <col min="15376" max="15376" width="5.140625" style="816" customWidth="1"/>
    <col min="15377" max="15616" width="11.42578125" style="816"/>
    <col min="15617" max="15617" width="5.85546875" style="816" customWidth="1"/>
    <col min="15618" max="15618" width="32.5703125" style="816" customWidth="1"/>
    <col min="15619" max="15619" width="10.28515625" style="816" customWidth="1"/>
    <col min="15620" max="15620" width="4.5703125" style="816" customWidth="1"/>
    <col min="15621" max="15621" width="4.140625" style="816" customWidth="1"/>
    <col min="15622" max="15622" width="8.42578125" style="816" customWidth="1"/>
    <col min="15623" max="15623" width="4.7109375" style="816" customWidth="1"/>
    <col min="15624" max="15624" width="4" style="816" customWidth="1"/>
    <col min="15625" max="15625" width="8.85546875" style="816" customWidth="1"/>
    <col min="15626" max="15626" width="4.85546875" style="816" customWidth="1"/>
    <col min="15627" max="15627" width="3.7109375" style="816" customWidth="1"/>
    <col min="15628" max="15628" width="8.85546875" style="816" customWidth="1"/>
    <col min="15629" max="15629" width="4.7109375" style="816" customWidth="1"/>
    <col min="15630" max="15630" width="4.28515625" style="816" customWidth="1"/>
    <col min="15631" max="15631" width="11" style="816" customWidth="1"/>
    <col min="15632" max="15632" width="5.140625" style="816" customWidth="1"/>
    <col min="15633" max="15872" width="11.42578125" style="816"/>
    <col min="15873" max="15873" width="5.85546875" style="816" customWidth="1"/>
    <col min="15874" max="15874" width="32.5703125" style="816" customWidth="1"/>
    <col min="15875" max="15875" width="10.28515625" style="816" customWidth="1"/>
    <col min="15876" max="15876" width="4.5703125" style="816" customWidth="1"/>
    <col min="15877" max="15877" width="4.140625" style="816" customWidth="1"/>
    <col min="15878" max="15878" width="8.42578125" style="816" customWidth="1"/>
    <col min="15879" max="15879" width="4.7109375" style="816" customWidth="1"/>
    <col min="15880" max="15880" width="4" style="816" customWidth="1"/>
    <col min="15881" max="15881" width="8.85546875" style="816" customWidth="1"/>
    <col min="15882" max="15882" width="4.85546875" style="816" customWidth="1"/>
    <col min="15883" max="15883" width="3.7109375" style="816" customWidth="1"/>
    <col min="15884" max="15884" width="8.85546875" style="816" customWidth="1"/>
    <col min="15885" max="15885" width="4.7109375" style="816" customWidth="1"/>
    <col min="15886" max="15886" width="4.28515625" style="816" customWidth="1"/>
    <col min="15887" max="15887" width="11" style="816" customWidth="1"/>
    <col min="15888" max="15888" width="5.140625" style="816" customWidth="1"/>
    <col min="15889" max="16128" width="11.42578125" style="816"/>
    <col min="16129" max="16129" width="5.85546875" style="816" customWidth="1"/>
    <col min="16130" max="16130" width="32.5703125" style="816" customWidth="1"/>
    <col min="16131" max="16131" width="10.28515625" style="816" customWidth="1"/>
    <col min="16132" max="16132" width="4.5703125" style="816" customWidth="1"/>
    <col min="16133" max="16133" width="4.140625" style="816" customWidth="1"/>
    <col min="16134" max="16134" width="8.42578125" style="816" customWidth="1"/>
    <col min="16135" max="16135" width="4.7109375" style="816" customWidth="1"/>
    <col min="16136" max="16136" width="4" style="816" customWidth="1"/>
    <col min="16137" max="16137" width="8.85546875" style="816" customWidth="1"/>
    <col min="16138" max="16138" width="4.85546875" style="816" customWidth="1"/>
    <col min="16139" max="16139" width="3.7109375" style="816" customWidth="1"/>
    <col min="16140" max="16140" width="8.85546875" style="816" customWidth="1"/>
    <col min="16141" max="16141" width="4.7109375" style="816" customWidth="1"/>
    <col min="16142" max="16142" width="4.28515625" style="816" customWidth="1"/>
    <col min="16143" max="16143" width="11" style="816" customWidth="1"/>
    <col min="16144" max="16144" width="5.140625" style="816" customWidth="1"/>
    <col min="16145" max="16384" width="11.42578125" style="816"/>
  </cols>
  <sheetData>
    <row r="2" spans="2:16">
      <c r="B2" s="816" t="s">
        <v>4408</v>
      </c>
    </row>
    <row r="3" spans="2:16">
      <c r="B3" s="816" t="s">
        <v>4409</v>
      </c>
    </row>
    <row r="5" spans="2:16">
      <c r="B5" s="816" t="s">
        <v>1588</v>
      </c>
      <c r="C5" s="1554">
        <v>10</v>
      </c>
      <c r="D5" s="1552" t="s">
        <v>212</v>
      </c>
      <c r="E5" s="1552"/>
      <c r="F5" s="1554">
        <v>10</v>
      </c>
      <c r="G5" s="1552" t="s">
        <v>212</v>
      </c>
      <c r="H5" s="1552"/>
      <c r="I5" s="1554">
        <v>10</v>
      </c>
      <c r="J5" s="1552" t="s">
        <v>212</v>
      </c>
      <c r="K5" s="1552"/>
      <c r="L5" s="1554">
        <v>10</v>
      </c>
      <c r="M5" s="1552" t="s">
        <v>212</v>
      </c>
      <c r="N5" s="1552"/>
      <c r="O5" s="1554">
        <v>10</v>
      </c>
      <c r="P5" s="816" t="s">
        <v>212</v>
      </c>
    </row>
    <row r="6" spans="2:16">
      <c r="B6" s="816" t="s">
        <v>1704</v>
      </c>
      <c r="C6" s="1549">
        <v>4</v>
      </c>
      <c r="F6" s="1549">
        <v>4</v>
      </c>
      <c r="I6" s="1549">
        <v>4</v>
      </c>
      <c r="L6" s="1549">
        <v>4</v>
      </c>
      <c r="O6" s="1549">
        <v>4</v>
      </c>
    </row>
    <row r="7" spans="2:16">
      <c r="B7" s="816" t="s">
        <v>2983</v>
      </c>
      <c r="C7" s="1549">
        <v>50</v>
      </c>
      <c r="D7" s="816" t="s">
        <v>212</v>
      </c>
      <c r="F7" s="1549">
        <v>100</v>
      </c>
      <c r="G7" s="816" t="s">
        <v>212</v>
      </c>
      <c r="I7" s="1549">
        <v>200</v>
      </c>
      <c r="J7" s="816" t="s">
        <v>212</v>
      </c>
      <c r="L7" s="1549">
        <v>300</v>
      </c>
      <c r="M7" s="816" t="s">
        <v>212</v>
      </c>
      <c r="O7" s="1549">
        <v>500</v>
      </c>
      <c r="P7" s="816" t="s">
        <v>212</v>
      </c>
    </row>
    <row r="8" spans="2:16">
      <c r="B8" s="816" t="s">
        <v>4389</v>
      </c>
      <c r="C8" s="1549">
        <v>0.03</v>
      </c>
      <c r="D8" s="816" t="s">
        <v>212</v>
      </c>
      <c r="F8" s="1549">
        <v>0.03</v>
      </c>
      <c r="G8" s="816" t="s">
        <v>212</v>
      </c>
      <c r="I8" s="1549">
        <v>0.03</v>
      </c>
      <c r="J8" s="816" t="s">
        <v>212</v>
      </c>
      <c r="L8" s="1549">
        <v>0.03</v>
      </c>
      <c r="M8" s="816" t="s">
        <v>212</v>
      </c>
      <c r="O8" s="1549">
        <v>0.03</v>
      </c>
      <c r="P8" s="816" t="s">
        <v>212</v>
      </c>
    </row>
    <row r="10" spans="2:16">
      <c r="B10" s="816" t="s">
        <v>4390</v>
      </c>
      <c r="C10" s="826">
        <v>833.33333333333337</v>
      </c>
      <c r="D10" s="826" t="s">
        <v>212</v>
      </c>
      <c r="E10" s="826"/>
      <c r="F10" s="826">
        <v>833.33333333333337</v>
      </c>
      <c r="G10" s="826" t="s">
        <v>212</v>
      </c>
      <c r="H10" s="826"/>
      <c r="I10" s="826">
        <v>833.33333333333337</v>
      </c>
      <c r="J10" s="826" t="s">
        <v>212</v>
      </c>
      <c r="K10" s="826"/>
      <c r="L10" s="826">
        <v>833.33333333333337</v>
      </c>
      <c r="M10" s="826" t="s">
        <v>212</v>
      </c>
      <c r="N10" s="826"/>
      <c r="O10" s="826">
        <v>833.33333333333337</v>
      </c>
      <c r="P10" s="816" t="s">
        <v>212</v>
      </c>
    </row>
    <row r="12" spans="2:16">
      <c r="B12" s="816" t="s">
        <v>4410</v>
      </c>
      <c r="C12" s="826">
        <v>47.709923664122144</v>
      </c>
      <c r="D12" s="816" t="s">
        <v>212</v>
      </c>
      <c r="F12" s="826">
        <v>90.25270758122744</v>
      </c>
      <c r="G12" s="816" t="s">
        <v>212</v>
      </c>
      <c r="I12" s="826">
        <v>162.86644951140065</v>
      </c>
      <c r="J12" s="816" t="s">
        <v>212</v>
      </c>
      <c r="L12" s="826">
        <v>222.55192878338275</v>
      </c>
      <c r="M12" s="816" t="s">
        <v>212</v>
      </c>
      <c r="O12" s="826">
        <v>314.86146095717879</v>
      </c>
      <c r="P12" s="816" t="s">
        <v>212</v>
      </c>
    </row>
    <row r="13" spans="2:16">
      <c r="B13" s="816" t="s">
        <v>4411</v>
      </c>
      <c r="C13" s="826">
        <v>52.52100840336135</v>
      </c>
      <c r="D13" s="816" t="s">
        <v>212</v>
      </c>
      <c r="F13" s="826">
        <v>112.10762331838566</v>
      </c>
      <c r="G13" s="816" t="s">
        <v>212</v>
      </c>
      <c r="I13" s="826">
        <v>259.06735751295338</v>
      </c>
      <c r="J13" s="816" t="s">
        <v>212</v>
      </c>
      <c r="L13" s="826">
        <v>460.12269938650303</v>
      </c>
      <c r="M13" s="816" t="s">
        <v>212</v>
      </c>
      <c r="O13" s="826">
        <v>1213.5922330097087</v>
      </c>
      <c r="P13" s="816" t="s">
        <v>212</v>
      </c>
    </row>
    <row r="15" spans="2:16">
      <c r="B15" s="816" t="s">
        <v>4412</v>
      </c>
      <c r="C15" s="826">
        <v>4.811084739239206</v>
      </c>
      <c r="D15" s="816" t="s">
        <v>212</v>
      </c>
      <c r="F15" s="826">
        <v>21.854915737158223</v>
      </c>
      <c r="G15" s="816" t="s">
        <v>212</v>
      </c>
      <c r="I15" s="826">
        <v>96.200908001552733</v>
      </c>
      <c r="J15" s="816" t="s">
        <v>212</v>
      </c>
      <c r="L15" s="826">
        <v>237.57077060312028</v>
      </c>
      <c r="M15" s="816" t="s">
        <v>212</v>
      </c>
      <c r="O15" s="826">
        <v>898.73077205252991</v>
      </c>
      <c r="P15" s="816" t="s">
        <v>212</v>
      </c>
    </row>
    <row r="17" spans="2:16">
      <c r="B17" s="816" t="s">
        <v>4413</v>
      </c>
      <c r="C17" s="826">
        <v>2.2900763358778562</v>
      </c>
      <c r="D17" s="816" t="s">
        <v>212</v>
      </c>
      <c r="F17" s="826">
        <v>9.7472924187725596</v>
      </c>
      <c r="G17" s="816" t="s">
        <v>212</v>
      </c>
      <c r="I17" s="826">
        <v>37.133550488599354</v>
      </c>
      <c r="J17" s="816" t="s">
        <v>212</v>
      </c>
      <c r="L17" s="826">
        <v>77.448071216617251</v>
      </c>
      <c r="M17" s="816" t="s">
        <v>212</v>
      </c>
      <c r="O17" s="826">
        <v>185.13853904282121</v>
      </c>
      <c r="P17" s="816" t="s">
        <v>212</v>
      </c>
    </row>
    <row r="18" spans="2:16">
      <c r="B18" s="816" t="s">
        <v>4414</v>
      </c>
      <c r="C18" s="826">
        <v>2.5210084033613498</v>
      </c>
      <c r="D18" s="816" t="s">
        <v>212</v>
      </c>
      <c r="F18" s="826">
        <v>12.107623318385663</v>
      </c>
      <c r="G18" s="816" t="s">
        <v>212</v>
      </c>
      <c r="I18" s="826">
        <v>59.067357512953379</v>
      </c>
      <c r="J18" s="816" t="s">
        <v>212</v>
      </c>
      <c r="L18" s="826">
        <v>160.12269938650303</v>
      </c>
      <c r="M18" s="816" t="s">
        <v>212</v>
      </c>
      <c r="O18" s="826">
        <v>713.59223300970871</v>
      </c>
      <c r="P18" s="816" t="s">
        <v>212</v>
      </c>
    </row>
    <row r="20" spans="2:16">
      <c r="B20" s="816" t="s">
        <v>4415</v>
      </c>
      <c r="C20" s="817" t="s">
        <v>4416</v>
      </c>
      <c r="D20" s="817"/>
      <c r="E20" s="817"/>
      <c r="F20" s="817" t="s">
        <v>4417</v>
      </c>
      <c r="G20" s="817"/>
      <c r="H20" s="817"/>
      <c r="I20" s="817" t="s">
        <v>4418</v>
      </c>
      <c r="J20" s="817"/>
      <c r="K20" s="817"/>
      <c r="L20" s="817" t="s">
        <v>4419</v>
      </c>
      <c r="M20" s="817"/>
      <c r="N20" s="817"/>
      <c r="O20" s="817" t="s">
        <v>4420</v>
      </c>
    </row>
    <row r="22" spans="2:16">
      <c r="B22" s="1550" t="s">
        <v>3371</v>
      </c>
    </row>
    <row r="23" spans="2:16">
      <c r="B23" s="1550" t="s">
        <v>3372</v>
      </c>
    </row>
    <row r="24" spans="2:16">
      <c r="B24" s="1550" t="s">
        <v>3344</v>
      </c>
    </row>
    <row r="26" spans="2:16">
      <c r="B26" s="1550" t="s">
        <v>3373</v>
      </c>
    </row>
    <row r="27" spans="2:16">
      <c r="B27" s="1550" t="s">
        <v>3374</v>
      </c>
    </row>
    <row r="28" spans="2:16">
      <c r="B28" s="1550" t="s">
        <v>3375</v>
      </c>
    </row>
    <row r="29" spans="2:16">
      <c r="B29" s="1550" t="s">
        <v>3376</v>
      </c>
    </row>
  </sheetData>
  <pageMargins left="0.78740157499999996" right="0.78740157499999996" top="0.984251969" bottom="0.984251969" header="0.4921259845" footer="0.4921259845"/>
  <pageSetup paperSize="9" orientation="portrait"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L32"/>
  <sheetViews>
    <sheetView workbookViewId="0">
      <selection activeCell="J26" sqref="J26"/>
    </sheetView>
  </sheetViews>
  <sheetFormatPr baseColWidth="10" defaultRowHeight="12.75"/>
  <cols>
    <col min="1" max="1" width="11.42578125" style="816"/>
    <col min="2" max="2" width="23.42578125" style="816" customWidth="1"/>
    <col min="3" max="3" width="8.140625" style="816" customWidth="1"/>
    <col min="4" max="257" width="11.42578125" style="816"/>
    <col min="258" max="258" width="23.42578125" style="816" customWidth="1"/>
    <col min="259" max="259" width="8.140625" style="816" customWidth="1"/>
    <col min="260" max="513" width="11.42578125" style="816"/>
    <col min="514" max="514" width="23.42578125" style="816" customWidth="1"/>
    <col min="515" max="515" width="8.140625" style="816" customWidth="1"/>
    <col min="516" max="769" width="11.42578125" style="816"/>
    <col min="770" max="770" width="23.42578125" style="816" customWidth="1"/>
    <col min="771" max="771" width="8.140625" style="816" customWidth="1"/>
    <col min="772" max="1025" width="11.42578125" style="816"/>
    <col min="1026" max="1026" width="23.42578125" style="816" customWidth="1"/>
    <col min="1027" max="1027" width="8.140625" style="816" customWidth="1"/>
    <col min="1028" max="1281" width="11.42578125" style="816"/>
    <col min="1282" max="1282" width="23.42578125" style="816" customWidth="1"/>
    <col min="1283" max="1283" width="8.140625" style="816" customWidth="1"/>
    <col min="1284" max="1537" width="11.42578125" style="816"/>
    <col min="1538" max="1538" width="23.42578125" style="816" customWidth="1"/>
    <col min="1539" max="1539" width="8.140625" style="816" customWidth="1"/>
    <col min="1540" max="1793" width="11.42578125" style="816"/>
    <col min="1794" max="1794" width="23.42578125" style="816" customWidth="1"/>
    <col min="1795" max="1795" width="8.140625" style="816" customWidth="1"/>
    <col min="1796" max="2049" width="11.42578125" style="816"/>
    <col min="2050" max="2050" width="23.42578125" style="816" customWidth="1"/>
    <col min="2051" max="2051" width="8.140625" style="816" customWidth="1"/>
    <col min="2052" max="2305" width="11.42578125" style="816"/>
    <col min="2306" max="2306" width="23.42578125" style="816" customWidth="1"/>
    <col min="2307" max="2307" width="8.140625" style="816" customWidth="1"/>
    <col min="2308" max="2561" width="11.42578125" style="816"/>
    <col min="2562" max="2562" width="23.42578125" style="816" customWidth="1"/>
    <col min="2563" max="2563" width="8.140625" style="816" customWidth="1"/>
    <col min="2564" max="2817" width="11.42578125" style="816"/>
    <col min="2818" max="2818" width="23.42578125" style="816" customWidth="1"/>
    <col min="2819" max="2819" width="8.140625" style="816" customWidth="1"/>
    <col min="2820" max="3073" width="11.42578125" style="816"/>
    <col min="3074" max="3074" width="23.42578125" style="816" customWidth="1"/>
    <col min="3075" max="3075" width="8.140625" style="816" customWidth="1"/>
    <col min="3076" max="3329" width="11.42578125" style="816"/>
    <col min="3330" max="3330" width="23.42578125" style="816" customWidth="1"/>
    <col min="3331" max="3331" width="8.140625" style="816" customWidth="1"/>
    <col min="3332" max="3585" width="11.42578125" style="816"/>
    <col min="3586" max="3586" width="23.42578125" style="816" customWidth="1"/>
    <col min="3587" max="3587" width="8.140625" style="816" customWidth="1"/>
    <col min="3588" max="3841" width="11.42578125" style="816"/>
    <col min="3842" max="3842" width="23.42578125" style="816" customWidth="1"/>
    <col min="3843" max="3843" width="8.140625" style="816" customWidth="1"/>
    <col min="3844" max="4097" width="11.42578125" style="816"/>
    <col min="4098" max="4098" width="23.42578125" style="816" customWidth="1"/>
    <col min="4099" max="4099" width="8.140625" style="816" customWidth="1"/>
    <col min="4100" max="4353" width="11.42578125" style="816"/>
    <col min="4354" max="4354" width="23.42578125" style="816" customWidth="1"/>
    <col min="4355" max="4355" width="8.140625" style="816" customWidth="1"/>
    <col min="4356" max="4609" width="11.42578125" style="816"/>
    <col min="4610" max="4610" width="23.42578125" style="816" customWidth="1"/>
    <col min="4611" max="4611" width="8.140625" style="816" customWidth="1"/>
    <col min="4612" max="4865" width="11.42578125" style="816"/>
    <col min="4866" max="4866" width="23.42578125" style="816" customWidth="1"/>
    <col min="4867" max="4867" width="8.140625" style="816" customWidth="1"/>
    <col min="4868" max="5121" width="11.42578125" style="816"/>
    <col min="5122" max="5122" width="23.42578125" style="816" customWidth="1"/>
    <col min="5123" max="5123" width="8.140625" style="816" customWidth="1"/>
    <col min="5124" max="5377" width="11.42578125" style="816"/>
    <col min="5378" max="5378" width="23.42578125" style="816" customWidth="1"/>
    <col min="5379" max="5379" width="8.140625" style="816" customWidth="1"/>
    <col min="5380" max="5633" width="11.42578125" style="816"/>
    <col min="5634" max="5634" width="23.42578125" style="816" customWidth="1"/>
    <col min="5635" max="5635" width="8.140625" style="816" customWidth="1"/>
    <col min="5636" max="5889" width="11.42578125" style="816"/>
    <col min="5890" max="5890" width="23.42578125" style="816" customWidth="1"/>
    <col min="5891" max="5891" width="8.140625" style="816" customWidth="1"/>
    <col min="5892" max="6145" width="11.42578125" style="816"/>
    <col min="6146" max="6146" width="23.42578125" style="816" customWidth="1"/>
    <col min="6147" max="6147" width="8.140625" style="816" customWidth="1"/>
    <col min="6148" max="6401" width="11.42578125" style="816"/>
    <col min="6402" max="6402" width="23.42578125" style="816" customWidth="1"/>
    <col min="6403" max="6403" width="8.140625" style="816" customWidth="1"/>
    <col min="6404" max="6657" width="11.42578125" style="816"/>
    <col min="6658" max="6658" width="23.42578125" style="816" customWidth="1"/>
    <col min="6659" max="6659" width="8.140625" style="816" customWidth="1"/>
    <col min="6660" max="6913" width="11.42578125" style="816"/>
    <col min="6914" max="6914" width="23.42578125" style="816" customWidth="1"/>
    <col min="6915" max="6915" width="8.140625" style="816" customWidth="1"/>
    <col min="6916" max="7169" width="11.42578125" style="816"/>
    <col min="7170" max="7170" width="23.42578125" style="816" customWidth="1"/>
    <col min="7171" max="7171" width="8.140625" style="816" customWidth="1"/>
    <col min="7172" max="7425" width="11.42578125" style="816"/>
    <col min="7426" max="7426" width="23.42578125" style="816" customWidth="1"/>
    <col min="7427" max="7427" width="8.140625" style="816" customWidth="1"/>
    <col min="7428" max="7681" width="11.42578125" style="816"/>
    <col min="7682" max="7682" width="23.42578125" style="816" customWidth="1"/>
    <col min="7683" max="7683" width="8.140625" style="816" customWidth="1"/>
    <col min="7684" max="7937" width="11.42578125" style="816"/>
    <col min="7938" max="7938" width="23.42578125" style="816" customWidth="1"/>
    <col min="7939" max="7939" width="8.140625" style="816" customWidth="1"/>
    <col min="7940" max="8193" width="11.42578125" style="816"/>
    <col min="8194" max="8194" width="23.42578125" style="816" customWidth="1"/>
    <col min="8195" max="8195" width="8.140625" style="816" customWidth="1"/>
    <col min="8196" max="8449" width="11.42578125" style="816"/>
    <col min="8450" max="8450" width="23.42578125" style="816" customWidth="1"/>
    <col min="8451" max="8451" width="8.140625" style="816" customWidth="1"/>
    <col min="8452" max="8705" width="11.42578125" style="816"/>
    <col min="8706" max="8706" width="23.42578125" style="816" customWidth="1"/>
    <col min="8707" max="8707" width="8.140625" style="816" customWidth="1"/>
    <col min="8708" max="8961" width="11.42578125" style="816"/>
    <col min="8962" max="8962" width="23.42578125" style="816" customWidth="1"/>
    <col min="8963" max="8963" width="8.140625" style="816" customWidth="1"/>
    <col min="8964" max="9217" width="11.42578125" style="816"/>
    <col min="9218" max="9218" width="23.42578125" style="816" customWidth="1"/>
    <col min="9219" max="9219" width="8.140625" style="816" customWidth="1"/>
    <col min="9220" max="9473" width="11.42578125" style="816"/>
    <col min="9474" max="9474" width="23.42578125" style="816" customWidth="1"/>
    <col min="9475" max="9475" width="8.140625" style="816" customWidth="1"/>
    <col min="9476" max="9729" width="11.42578125" style="816"/>
    <col min="9730" max="9730" width="23.42578125" style="816" customWidth="1"/>
    <col min="9731" max="9731" width="8.140625" style="816" customWidth="1"/>
    <col min="9732" max="9985" width="11.42578125" style="816"/>
    <col min="9986" max="9986" width="23.42578125" style="816" customWidth="1"/>
    <col min="9987" max="9987" width="8.140625" style="816" customWidth="1"/>
    <col min="9988" max="10241" width="11.42578125" style="816"/>
    <col min="10242" max="10242" width="23.42578125" style="816" customWidth="1"/>
    <col min="10243" max="10243" width="8.140625" style="816" customWidth="1"/>
    <col min="10244" max="10497" width="11.42578125" style="816"/>
    <col min="10498" max="10498" width="23.42578125" style="816" customWidth="1"/>
    <col min="10499" max="10499" width="8.140625" style="816" customWidth="1"/>
    <col min="10500" max="10753" width="11.42578125" style="816"/>
    <col min="10754" max="10754" width="23.42578125" style="816" customWidth="1"/>
    <col min="10755" max="10755" width="8.140625" style="816" customWidth="1"/>
    <col min="10756" max="11009" width="11.42578125" style="816"/>
    <col min="11010" max="11010" width="23.42578125" style="816" customWidth="1"/>
    <col min="11011" max="11011" width="8.140625" style="816" customWidth="1"/>
    <col min="11012" max="11265" width="11.42578125" style="816"/>
    <col min="11266" max="11266" width="23.42578125" style="816" customWidth="1"/>
    <col min="11267" max="11267" width="8.140625" style="816" customWidth="1"/>
    <col min="11268" max="11521" width="11.42578125" style="816"/>
    <col min="11522" max="11522" width="23.42578125" style="816" customWidth="1"/>
    <col min="11523" max="11523" width="8.140625" style="816" customWidth="1"/>
    <col min="11524" max="11777" width="11.42578125" style="816"/>
    <col min="11778" max="11778" width="23.42578125" style="816" customWidth="1"/>
    <col min="11779" max="11779" width="8.140625" style="816" customWidth="1"/>
    <col min="11780" max="12033" width="11.42578125" style="816"/>
    <col min="12034" max="12034" width="23.42578125" style="816" customWidth="1"/>
    <col min="12035" max="12035" width="8.140625" style="816" customWidth="1"/>
    <col min="12036" max="12289" width="11.42578125" style="816"/>
    <col min="12290" max="12290" width="23.42578125" style="816" customWidth="1"/>
    <col min="12291" max="12291" width="8.140625" style="816" customWidth="1"/>
    <col min="12292" max="12545" width="11.42578125" style="816"/>
    <col min="12546" max="12546" width="23.42578125" style="816" customWidth="1"/>
    <col min="12547" max="12547" width="8.140625" style="816" customWidth="1"/>
    <col min="12548" max="12801" width="11.42578125" style="816"/>
    <col min="12802" max="12802" width="23.42578125" style="816" customWidth="1"/>
    <col min="12803" max="12803" width="8.140625" style="816" customWidth="1"/>
    <col min="12804" max="13057" width="11.42578125" style="816"/>
    <col min="13058" max="13058" width="23.42578125" style="816" customWidth="1"/>
    <col min="13059" max="13059" width="8.140625" style="816" customWidth="1"/>
    <col min="13060" max="13313" width="11.42578125" style="816"/>
    <col min="13314" max="13314" width="23.42578125" style="816" customWidth="1"/>
    <col min="13315" max="13315" width="8.140625" style="816" customWidth="1"/>
    <col min="13316" max="13569" width="11.42578125" style="816"/>
    <col min="13570" max="13570" width="23.42578125" style="816" customWidth="1"/>
    <col min="13571" max="13571" width="8.140625" style="816" customWidth="1"/>
    <col min="13572" max="13825" width="11.42578125" style="816"/>
    <col min="13826" max="13826" width="23.42578125" style="816" customWidth="1"/>
    <col min="13827" max="13827" width="8.140625" style="816" customWidth="1"/>
    <col min="13828" max="14081" width="11.42578125" style="816"/>
    <col min="14082" max="14082" width="23.42578125" style="816" customWidth="1"/>
    <col min="14083" max="14083" width="8.140625" style="816" customWidth="1"/>
    <col min="14084" max="14337" width="11.42578125" style="816"/>
    <col min="14338" max="14338" width="23.42578125" style="816" customWidth="1"/>
    <col min="14339" max="14339" width="8.140625" style="816" customWidth="1"/>
    <col min="14340" max="14593" width="11.42578125" style="816"/>
    <col min="14594" max="14594" width="23.42578125" style="816" customWidth="1"/>
    <col min="14595" max="14595" width="8.140625" style="816" customWidth="1"/>
    <col min="14596" max="14849" width="11.42578125" style="816"/>
    <col min="14850" max="14850" width="23.42578125" style="816" customWidth="1"/>
    <col min="14851" max="14851" width="8.140625" style="816" customWidth="1"/>
    <col min="14852" max="15105" width="11.42578125" style="816"/>
    <col min="15106" max="15106" width="23.42578125" style="816" customWidth="1"/>
    <col min="15107" max="15107" width="8.140625" style="816" customWidth="1"/>
    <col min="15108" max="15361" width="11.42578125" style="816"/>
    <col min="15362" max="15362" width="23.42578125" style="816" customWidth="1"/>
    <col min="15363" max="15363" width="8.140625" style="816" customWidth="1"/>
    <col min="15364" max="15617" width="11.42578125" style="816"/>
    <col min="15618" max="15618" width="23.42578125" style="816" customWidth="1"/>
    <col min="15619" max="15619" width="8.140625" style="816" customWidth="1"/>
    <col min="15620" max="15873" width="11.42578125" style="816"/>
    <col min="15874" max="15874" width="23.42578125" style="816" customWidth="1"/>
    <col min="15875" max="15875" width="8.140625" style="816" customWidth="1"/>
    <col min="15876" max="16129" width="11.42578125" style="816"/>
    <col min="16130" max="16130" width="23.42578125" style="816" customWidth="1"/>
    <col min="16131" max="16131" width="8.140625" style="816" customWidth="1"/>
    <col min="16132" max="16384" width="11.42578125" style="816"/>
  </cols>
  <sheetData>
    <row r="3" spans="2:12">
      <c r="B3" s="816" t="s">
        <v>4421</v>
      </c>
    </row>
    <row r="4" spans="2:12">
      <c r="B4" s="816" t="s">
        <v>4422</v>
      </c>
    </row>
    <row r="5" spans="2:12">
      <c r="B5" s="816" t="s">
        <v>4423</v>
      </c>
    </row>
    <row r="8" spans="2:12">
      <c r="B8" s="816" t="s">
        <v>1356</v>
      </c>
      <c r="C8" s="1549">
        <v>4</v>
      </c>
      <c r="E8" s="1549">
        <v>5.6</v>
      </c>
      <c r="G8" s="1549">
        <v>8</v>
      </c>
      <c r="I8" s="1549">
        <v>11</v>
      </c>
      <c r="K8" s="1549">
        <v>16</v>
      </c>
    </row>
    <row r="9" spans="2:12">
      <c r="B9" s="816" t="s">
        <v>1773</v>
      </c>
      <c r="C9" s="1549">
        <v>12</v>
      </c>
      <c r="D9" s="816" t="s">
        <v>212</v>
      </c>
      <c r="E9" s="816">
        <v>12</v>
      </c>
      <c r="F9" s="816" t="s">
        <v>212</v>
      </c>
      <c r="G9" s="816">
        <v>12</v>
      </c>
      <c r="H9" s="816" t="s">
        <v>212</v>
      </c>
      <c r="I9" s="816">
        <v>12</v>
      </c>
      <c r="J9" s="816" t="s">
        <v>212</v>
      </c>
      <c r="K9" s="816">
        <v>12</v>
      </c>
      <c r="L9" s="816" t="s">
        <v>212</v>
      </c>
    </row>
    <row r="10" spans="2:12">
      <c r="B10" s="816" t="s">
        <v>3342</v>
      </c>
      <c r="C10" s="1549">
        <v>0.01</v>
      </c>
      <c r="D10" s="816" t="s">
        <v>212</v>
      </c>
      <c r="E10" s="816">
        <v>0.01</v>
      </c>
      <c r="F10" s="816" t="s">
        <v>212</v>
      </c>
      <c r="G10" s="816">
        <v>0.01</v>
      </c>
      <c r="H10" s="816" t="s">
        <v>212</v>
      </c>
      <c r="I10" s="816">
        <v>0.01</v>
      </c>
      <c r="J10" s="816" t="s">
        <v>212</v>
      </c>
      <c r="K10" s="816">
        <v>0.01</v>
      </c>
      <c r="L10" s="816" t="s">
        <v>212</v>
      </c>
    </row>
    <row r="11" spans="2:12">
      <c r="B11" s="816" t="s">
        <v>1959</v>
      </c>
      <c r="C11" s="1549">
        <v>800</v>
      </c>
      <c r="D11" s="816" t="s">
        <v>212</v>
      </c>
      <c r="E11" s="816">
        <v>800</v>
      </c>
      <c r="F11" s="816" t="s">
        <v>212</v>
      </c>
      <c r="G11" s="816">
        <v>800</v>
      </c>
      <c r="H11" s="816" t="s">
        <v>212</v>
      </c>
      <c r="I11" s="816">
        <v>800</v>
      </c>
      <c r="J11" s="816" t="s">
        <v>212</v>
      </c>
      <c r="K11" s="816">
        <v>800</v>
      </c>
      <c r="L11" s="816" t="s">
        <v>212</v>
      </c>
    </row>
    <row r="13" spans="2:12">
      <c r="B13" s="816" t="s">
        <v>4424</v>
      </c>
      <c r="C13" s="826">
        <v>3600</v>
      </c>
      <c r="D13" s="816" t="s">
        <v>212</v>
      </c>
      <c r="E13" s="826">
        <v>2571.4285714285716</v>
      </c>
      <c r="F13" s="816" t="s">
        <v>212</v>
      </c>
      <c r="G13" s="826">
        <v>1800</v>
      </c>
      <c r="H13" s="816" t="s">
        <v>212</v>
      </c>
      <c r="I13" s="826">
        <v>1309.090909090909</v>
      </c>
      <c r="J13" s="816" t="s">
        <v>212</v>
      </c>
      <c r="K13" s="826">
        <v>900</v>
      </c>
      <c r="L13" s="816" t="s">
        <v>212</v>
      </c>
    </row>
    <row r="14" spans="2:12">
      <c r="B14" s="816" t="s">
        <v>4410</v>
      </c>
      <c r="C14" s="826">
        <v>656.33546034639926</v>
      </c>
      <c r="D14" s="816" t="s">
        <v>212</v>
      </c>
      <c r="E14" s="826">
        <v>612.34903895220282</v>
      </c>
      <c r="F14" s="816" t="s">
        <v>212</v>
      </c>
      <c r="G14" s="826">
        <v>556.41421947449771</v>
      </c>
      <c r="H14" s="816" t="s">
        <v>212</v>
      </c>
      <c r="I14" s="826">
        <v>499.39309866481705</v>
      </c>
      <c r="J14" s="816" t="s">
        <v>212</v>
      </c>
      <c r="K14" s="826">
        <v>426.54028436018956</v>
      </c>
      <c r="L14" s="816" t="s">
        <v>212</v>
      </c>
    </row>
    <row r="15" spans="2:12">
      <c r="B15" s="816" t="s">
        <v>4411</v>
      </c>
      <c r="C15" s="826">
        <v>1024.1820768136558</v>
      </c>
      <c r="D15" s="816" t="s">
        <v>212</v>
      </c>
      <c r="E15" s="826">
        <v>1153.4764498558154</v>
      </c>
      <c r="F15" s="816" t="s">
        <v>212</v>
      </c>
      <c r="G15" s="826">
        <v>1422.9249011857708</v>
      </c>
      <c r="H15" s="816" t="s">
        <v>212</v>
      </c>
      <c r="I15" s="826">
        <v>2009.7697138869505</v>
      </c>
      <c r="J15" s="816" t="s">
        <v>212</v>
      </c>
      <c r="K15" s="826">
        <v>6428.5714285714284</v>
      </c>
      <c r="L15" s="816" t="s">
        <v>212</v>
      </c>
    </row>
    <row r="16" spans="2:12">
      <c r="B16" s="816" t="s">
        <v>4425</v>
      </c>
      <c r="C16" s="826">
        <v>367.84661646725658</v>
      </c>
      <c r="D16" s="816" t="s">
        <v>212</v>
      </c>
      <c r="E16" s="826">
        <v>541.1274109036126</v>
      </c>
      <c r="F16" s="816" t="s">
        <v>212</v>
      </c>
      <c r="G16" s="826">
        <v>866.51068171127304</v>
      </c>
      <c r="H16" s="816" t="s">
        <v>212</v>
      </c>
      <c r="I16" s="826">
        <v>1510.3766152221335</v>
      </c>
      <c r="J16" s="816" t="s">
        <v>212</v>
      </c>
      <c r="K16" s="826">
        <v>6002.0311442112388</v>
      </c>
      <c r="L16" s="816" t="s">
        <v>212</v>
      </c>
    </row>
    <row r="17" spans="2:12">
      <c r="B17" s="816" t="s">
        <v>4426</v>
      </c>
      <c r="C17" s="826">
        <v>367.84661646725647</v>
      </c>
      <c r="D17" s="816" t="s">
        <v>212</v>
      </c>
      <c r="E17" s="826">
        <v>541.12741090361271</v>
      </c>
      <c r="F17" s="816" t="s">
        <v>212</v>
      </c>
      <c r="G17" s="826">
        <v>866.51068171127304</v>
      </c>
      <c r="H17" s="816" t="s">
        <v>212</v>
      </c>
      <c r="I17" s="826">
        <v>1510.3766152221333</v>
      </c>
      <c r="J17" s="816" t="s">
        <v>212</v>
      </c>
      <c r="K17" s="826">
        <v>6002.0311442112388</v>
      </c>
      <c r="L17" s="816" t="s">
        <v>212</v>
      </c>
    </row>
    <row r="20" spans="2:12">
      <c r="B20" s="820" t="s">
        <v>3364</v>
      </c>
    </row>
    <row r="22" spans="2:12">
      <c r="B22" s="816" t="s">
        <v>3365</v>
      </c>
    </row>
    <row r="24" spans="2:12">
      <c r="B24" s="816" t="s">
        <v>4395</v>
      </c>
    </row>
    <row r="25" spans="2:12">
      <c r="B25" s="816" t="s">
        <v>4394</v>
      </c>
    </row>
    <row r="27" spans="2:12">
      <c r="B27" s="816" t="s">
        <v>3368</v>
      </c>
    </row>
    <row r="30" spans="2:12">
      <c r="B30" s="816" t="s">
        <v>4427</v>
      </c>
    </row>
    <row r="31" spans="2:12">
      <c r="C31" s="816">
        <v>4</v>
      </c>
      <c r="D31" s="816">
        <v>5.6</v>
      </c>
      <c r="E31" s="816">
        <v>8</v>
      </c>
      <c r="F31" s="816">
        <v>11</v>
      </c>
      <c r="G31" s="816">
        <v>16</v>
      </c>
    </row>
    <row r="32" spans="2:12">
      <c r="C32" s="826">
        <v>367.84661646725658</v>
      </c>
      <c r="D32" s="826">
        <v>541.1274109036126</v>
      </c>
      <c r="E32" s="826">
        <v>866.51068171127304</v>
      </c>
      <c r="F32" s="826">
        <v>1510.3766152221335</v>
      </c>
      <c r="G32" s="826">
        <v>6002.0311442112388</v>
      </c>
    </row>
  </sheetData>
  <pageMargins left="0.78740157499999996" right="0.78740157499999996" top="0.984251969" bottom="0.984251969" header="0.4921259845" footer="0.4921259845"/>
  <pageSetup paperSize="9" orientation="portrait"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L17"/>
  <sheetViews>
    <sheetView workbookViewId="0">
      <selection activeCell="J26" sqref="J26"/>
    </sheetView>
  </sheetViews>
  <sheetFormatPr baseColWidth="10" defaultRowHeight="12.75"/>
  <cols>
    <col min="1" max="1" width="11.42578125" style="816"/>
    <col min="2" max="2" width="32.28515625" style="816" customWidth="1"/>
    <col min="3" max="3" width="11.42578125" style="816"/>
    <col min="4" max="4" width="4.85546875" style="816" customWidth="1"/>
    <col min="5" max="5" width="11.42578125" style="816"/>
    <col min="6" max="6" width="4.85546875" style="816" customWidth="1"/>
    <col min="7" max="7" width="3.7109375" style="816" customWidth="1"/>
    <col min="8" max="8" width="11.42578125" style="816"/>
    <col min="9" max="9" width="4.42578125" style="816" customWidth="1"/>
    <col min="10" max="10" width="2.85546875" style="816" customWidth="1"/>
    <col min="11" max="257" width="11.42578125" style="816"/>
    <col min="258" max="258" width="32.28515625" style="816" customWidth="1"/>
    <col min="259" max="259" width="11.42578125" style="816"/>
    <col min="260" max="260" width="4.85546875" style="816" customWidth="1"/>
    <col min="261" max="261" width="11.42578125" style="816"/>
    <col min="262" max="262" width="4.85546875" style="816" customWidth="1"/>
    <col min="263" max="263" width="3.7109375" style="816" customWidth="1"/>
    <col min="264" max="264" width="11.42578125" style="816"/>
    <col min="265" max="265" width="4.42578125" style="816" customWidth="1"/>
    <col min="266" max="266" width="2.85546875" style="816" customWidth="1"/>
    <col min="267" max="513" width="11.42578125" style="816"/>
    <col min="514" max="514" width="32.28515625" style="816" customWidth="1"/>
    <col min="515" max="515" width="11.42578125" style="816"/>
    <col min="516" max="516" width="4.85546875" style="816" customWidth="1"/>
    <col min="517" max="517" width="11.42578125" style="816"/>
    <col min="518" max="518" width="4.85546875" style="816" customWidth="1"/>
    <col min="519" max="519" width="3.7109375" style="816" customWidth="1"/>
    <col min="520" max="520" width="11.42578125" style="816"/>
    <col min="521" max="521" width="4.42578125" style="816" customWidth="1"/>
    <col min="522" max="522" width="2.85546875" style="816" customWidth="1"/>
    <col min="523" max="769" width="11.42578125" style="816"/>
    <col min="770" max="770" width="32.28515625" style="816" customWidth="1"/>
    <col min="771" max="771" width="11.42578125" style="816"/>
    <col min="772" max="772" width="4.85546875" style="816" customWidth="1"/>
    <col min="773" max="773" width="11.42578125" style="816"/>
    <col min="774" max="774" width="4.85546875" style="816" customWidth="1"/>
    <col min="775" max="775" width="3.7109375" style="816" customWidth="1"/>
    <col min="776" max="776" width="11.42578125" style="816"/>
    <col min="777" max="777" width="4.42578125" style="816" customWidth="1"/>
    <col min="778" max="778" width="2.85546875" style="816" customWidth="1"/>
    <col min="779" max="1025" width="11.42578125" style="816"/>
    <col min="1026" max="1026" width="32.28515625" style="816" customWidth="1"/>
    <col min="1027" max="1027" width="11.42578125" style="816"/>
    <col min="1028" max="1028" width="4.85546875" style="816" customWidth="1"/>
    <col min="1029" max="1029" width="11.42578125" style="816"/>
    <col min="1030" max="1030" width="4.85546875" style="816" customWidth="1"/>
    <col min="1031" max="1031" width="3.7109375" style="816" customWidth="1"/>
    <col min="1032" max="1032" width="11.42578125" style="816"/>
    <col min="1033" max="1033" width="4.42578125" style="816" customWidth="1"/>
    <col min="1034" max="1034" width="2.85546875" style="816" customWidth="1"/>
    <col min="1035" max="1281" width="11.42578125" style="816"/>
    <col min="1282" max="1282" width="32.28515625" style="816" customWidth="1"/>
    <col min="1283" max="1283" width="11.42578125" style="816"/>
    <col min="1284" max="1284" width="4.85546875" style="816" customWidth="1"/>
    <col min="1285" max="1285" width="11.42578125" style="816"/>
    <col min="1286" max="1286" width="4.85546875" style="816" customWidth="1"/>
    <col min="1287" max="1287" width="3.7109375" style="816" customWidth="1"/>
    <col min="1288" max="1288" width="11.42578125" style="816"/>
    <col min="1289" max="1289" width="4.42578125" style="816" customWidth="1"/>
    <col min="1290" max="1290" width="2.85546875" style="816" customWidth="1"/>
    <col min="1291" max="1537" width="11.42578125" style="816"/>
    <col min="1538" max="1538" width="32.28515625" style="816" customWidth="1"/>
    <col min="1539" max="1539" width="11.42578125" style="816"/>
    <col min="1540" max="1540" width="4.85546875" style="816" customWidth="1"/>
    <col min="1541" max="1541" width="11.42578125" style="816"/>
    <col min="1542" max="1542" width="4.85546875" style="816" customWidth="1"/>
    <col min="1543" max="1543" width="3.7109375" style="816" customWidth="1"/>
    <col min="1544" max="1544" width="11.42578125" style="816"/>
    <col min="1545" max="1545" width="4.42578125" style="816" customWidth="1"/>
    <col min="1546" max="1546" width="2.85546875" style="816" customWidth="1"/>
    <col min="1547" max="1793" width="11.42578125" style="816"/>
    <col min="1794" max="1794" width="32.28515625" style="816" customWidth="1"/>
    <col min="1795" max="1795" width="11.42578125" style="816"/>
    <col min="1796" max="1796" width="4.85546875" style="816" customWidth="1"/>
    <col min="1797" max="1797" width="11.42578125" style="816"/>
    <col min="1798" max="1798" width="4.85546875" style="816" customWidth="1"/>
    <col min="1799" max="1799" width="3.7109375" style="816" customWidth="1"/>
    <col min="1800" max="1800" width="11.42578125" style="816"/>
    <col min="1801" max="1801" width="4.42578125" style="816" customWidth="1"/>
    <col min="1802" max="1802" width="2.85546875" style="816" customWidth="1"/>
    <col min="1803" max="2049" width="11.42578125" style="816"/>
    <col min="2050" max="2050" width="32.28515625" style="816" customWidth="1"/>
    <col min="2051" max="2051" width="11.42578125" style="816"/>
    <col min="2052" max="2052" width="4.85546875" style="816" customWidth="1"/>
    <col min="2053" max="2053" width="11.42578125" style="816"/>
    <col min="2054" max="2054" width="4.85546875" style="816" customWidth="1"/>
    <col min="2055" max="2055" width="3.7109375" style="816" customWidth="1"/>
    <col min="2056" max="2056" width="11.42578125" style="816"/>
    <col min="2057" max="2057" width="4.42578125" style="816" customWidth="1"/>
    <col min="2058" max="2058" width="2.85546875" style="816" customWidth="1"/>
    <col min="2059" max="2305" width="11.42578125" style="816"/>
    <col min="2306" max="2306" width="32.28515625" style="816" customWidth="1"/>
    <col min="2307" max="2307" width="11.42578125" style="816"/>
    <col min="2308" max="2308" width="4.85546875" style="816" customWidth="1"/>
    <col min="2309" max="2309" width="11.42578125" style="816"/>
    <col min="2310" max="2310" width="4.85546875" style="816" customWidth="1"/>
    <col min="2311" max="2311" width="3.7109375" style="816" customWidth="1"/>
    <col min="2312" max="2312" width="11.42578125" style="816"/>
    <col min="2313" max="2313" width="4.42578125" style="816" customWidth="1"/>
    <col min="2314" max="2314" width="2.85546875" style="816" customWidth="1"/>
    <col min="2315" max="2561" width="11.42578125" style="816"/>
    <col min="2562" max="2562" width="32.28515625" style="816" customWidth="1"/>
    <col min="2563" max="2563" width="11.42578125" style="816"/>
    <col min="2564" max="2564" width="4.85546875" style="816" customWidth="1"/>
    <col min="2565" max="2565" width="11.42578125" style="816"/>
    <col min="2566" max="2566" width="4.85546875" style="816" customWidth="1"/>
    <col min="2567" max="2567" width="3.7109375" style="816" customWidth="1"/>
    <col min="2568" max="2568" width="11.42578125" style="816"/>
    <col min="2569" max="2569" width="4.42578125" style="816" customWidth="1"/>
    <col min="2570" max="2570" width="2.85546875" style="816" customWidth="1"/>
    <col min="2571" max="2817" width="11.42578125" style="816"/>
    <col min="2818" max="2818" width="32.28515625" style="816" customWidth="1"/>
    <col min="2819" max="2819" width="11.42578125" style="816"/>
    <col min="2820" max="2820" width="4.85546875" style="816" customWidth="1"/>
    <col min="2821" max="2821" width="11.42578125" style="816"/>
    <col min="2822" max="2822" width="4.85546875" style="816" customWidth="1"/>
    <col min="2823" max="2823" width="3.7109375" style="816" customWidth="1"/>
    <col min="2824" max="2824" width="11.42578125" style="816"/>
    <col min="2825" max="2825" width="4.42578125" style="816" customWidth="1"/>
    <col min="2826" max="2826" width="2.85546875" style="816" customWidth="1"/>
    <col min="2827" max="3073" width="11.42578125" style="816"/>
    <col min="3074" max="3074" width="32.28515625" style="816" customWidth="1"/>
    <col min="3075" max="3075" width="11.42578125" style="816"/>
    <col min="3076" max="3076" width="4.85546875" style="816" customWidth="1"/>
    <col min="3077" max="3077" width="11.42578125" style="816"/>
    <col min="3078" max="3078" width="4.85546875" style="816" customWidth="1"/>
    <col min="3079" max="3079" width="3.7109375" style="816" customWidth="1"/>
    <col min="3080" max="3080" width="11.42578125" style="816"/>
    <col min="3081" max="3081" width="4.42578125" style="816" customWidth="1"/>
    <col min="3082" max="3082" width="2.85546875" style="816" customWidth="1"/>
    <col min="3083" max="3329" width="11.42578125" style="816"/>
    <col min="3330" max="3330" width="32.28515625" style="816" customWidth="1"/>
    <col min="3331" max="3331" width="11.42578125" style="816"/>
    <col min="3332" max="3332" width="4.85546875" style="816" customWidth="1"/>
    <col min="3333" max="3333" width="11.42578125" style="816"/>
    <col min="3334" max="3334" width="4.85546875" style="816" customWidth="1"/>
    <col min="3335" max="3335" width="3.7109375" style="816" customWidth="1"/>
    <col min="3336" max="3336" width="11.42578125" style="816"/>
    <col min="3337" max="3337" width="4.42578125" style="816" customWidth="1"/>
    <col min="3338" max="3338" width="2.85546875" style="816" customWidth="1"/>
    <col min="3339" max="3585" width="11.42578125" style="816"/>
    <col min="3586" max="3586" width="32.28515625" style="816" customWidth="1"/>
    <col min="3587" max="3587" width="11.42578125" style="816"/>
    <col min="3588" max="3588" width="4.85546875" style="816" customWidth="1"/>
    <col min="3589" max="3589" width="11.42578125" style="816"/>
    <col min="3590" max="3590" width="4.85546875" style="816" customWidth="1"/>
    <col min="3591" max="3591" width="3.7109375" style="816" customWidth="1"/>
    <col min="3592" max="3592" width="11.42578125" style="816"/>
    <col min="3593" max="3593" width="4.42578125" style="816" customWidth="1"/>
    <col min="3594" max="3594" width="2.85546875" style="816" customWidth="1"/>
    <col min="3595" max="3841" width="11.42578125" style="816"/>
    <col min="3842" max="3842" width="32.28515625" style="816" customWidth="1"/>
    <col min="3843" max="3843" width="11.42578125" style="816"/>
    <col min="3844" max="3844" width="4.85546875" style="816" customWidth="1"/>
    <col min="3845" max="3845" width="11.42578125" style="816"/>
    <col min="3846" max="3846" width="4.85546875" style="816" customWidth="1"/>
    <col min="3847" max="3847" width="3.7109375" style="816" customWidth="1"/>
    <col min="3848" max="3848" width="11.42578125" style="816"/>
    <col min="3849" max="3849" width="4.42578125" style="816" customWidth="1"/>
    <col min="3850" max="3850" width="2.85546875" style="816" customWidth="1"/>
    <col min="3851" max="4097" width="11.42578125" style="816"/>
    <col min="4098" max="4098" width="32.28515625" style="816" customWidth="1"/>
    <col min="4099" max="4099" width="11.42578125" style="816"/>
    <col min="4100" max="4100" width="4.85546875" style="816" customWidth="1"/>
    <col min="4101" max="4101" width="11.42578125" style="816"/>
    <col min="4102" max="4102" width="4.85546875" style="816" customWidth="1"/>
    <col min="4103" max="4103" width="3.7109375" style="816" customWidth="1"/>
    <col min="4104" max="4104" width="11.42578125" style="816"/>
    <col min="4105" max="4105" width="4.42578125" style="816" customWidth="1"/>
    <col min="4106" max="4106" width="2.85546875" style="816" customWidth="1"/>
    <col min="4107" max="4353" width="11.42578125" style="816"/>
    <col min="4354" max="4354" width="32.28515625" style="816" customWidth="1"/>
    <col min="4355" max="4355" width="11.42578125" style="816"/>
    <col min="4356" max="4356" width="4.85546875" style="816" customWidth="1"/>
    <col min="4357" max="4357" width="11.42578125" style="816"/>
    <col min="4358" max="4358" width="4.85546875" style="816" customWidth="1"/>
    <col min="4359" max="4359" width="3.7109375" style="816" customWidth="1"/>
    <col min="4360" max="4360" width="11.42578125" style="816"/>
    <col min="4361" max="4361" width="4.42578125" style="816" customWidth="1"/>
    <col min="4362" max="4362" width="2.85546875" style="816" customWidth="1"/>
    <col min="4363" max="4609" width="11.42578125" style="816"/>
    <col min="4610" max="4610" width="32.28515625" style="816" customWidth="1"/>
    <col min="4611" max="4611" width="11.42578125" style="816"/>
    <col min="4612" max="4612" width="4.85546875" style="816" customWidth="1"/>
    <col min="4613" max="4613" width="11.42578125" style="816"/>
    <col min="4614" max="4614" width="4.85546875" style="816" customWidth="1"/>
    <col min="4615" max="4615" width="3.7109375" style="816" customWidth="1"/>
    <col min="4616" max="4616" width="11.42578125" style="816"/>
    <col min="4617" max="4617" width="4.42578125" style="816" customWidth="1"/>
    <col min="4618" max="4618" width="2.85546875" style="816" customWidth="1"/>
    <col min="4619" max="4865" width="11.42578125" style="816"/>
    <col min="4866" max="4866" width="32.28515625" style="816" customWidth="1"/>
    <col min="4867" max="4867" width="11.42578125" style="816"/>
    <col min="4868" max="4868" width="4.85546875" style="816" customWidth="1"/>
    <col min="4869" max="4869" width="11.42578125" style="816"/>
    <col min="4870" max="4870" width="4.85546875" style="816" customWidth="1"/>
    <col min="4871" max="4871" width="3.7109375" style="816" customWidth="1"/>
    <col min="4872" max="4872" width="11.42578125" style="816"/>
    <col min="4873" max="4873" width="4.42578125" style="816" customWidth="1"/>
    <col min="4874" max="4874" width="2.85546875" style="816" customWidth="1"/>
    <col min="4875" max="5121" width="11.42578125" style="816"/>
    <col min="5122" max="5122" width="32.28515625" style="816" customWidth="1"/>
    <col min="5123" max="5123" width="11.42578125" style="816"/>
    <col min="5124" max="5124" width="4.85546875" style="816" customWidth="1"/>
    <col min="5125" max="5125" width="11.42578125" style="816"/>
    <col min="5126" max="5126" width="4.85546875" style="816" customWidth="1"/>
    <col min="5127" max="5127" width="3.7109375" style="816" customWidth="1"/>
    <col min="5128" max="5128" width="11.42578125" style="816"/>
    <col min="5129" max="5129" width="4.42578125" style="816" customWidth="1"/>
    <col min="5130" max="5130" width="2.85546875" style="816" customWidth="1"/>
    <col min="5131" max="5377" width="11.42578125" style="816"/>
    <col min="5378" max="5378" width="32.28515625" style="816" customWidth="1"/>
    <col min="5379" max="5379" width="11.42578125" style="816"/>
    <col min="5380" max="5380" width="4.85546875" style="816" customWidth="1"/>
    <col min="5381" max="5381" width="11.42578125" style="816"/>
    <col min="5382" max="5382" width="4.85546875" style="816" customWidth="1"/>
    <col min="5383" max="5383" width="3.7109375" style="816" customWidth="1"/>
    <col min="5384" max="5384" width="11.42578125" style="816"/>
    <col min="5385" max="5385" width="4.42578125" style="816" customWidth="1"/>
    <col min="5386" max="5386" width="2.85546875" style="816" customWidth="1"/>
    <col min="5387" max="5633" width="11.42578125" style="816"/>
    <col min="5634" max="5634" width="32.28515625" style="816" customWidth="1"/>
    <col min="5635" max="5635" width="11.42578125" style="816"/>
    <col min="5636" max="5636" width="4.85546875" style="816" customWidth="1"/>
    <col min="5637" max="5637" width="11.42578125" style="816"/>
    <col min="5638" max="5638" width="4.85546875" style="816" customWidth="1"/>
    <col min="5639" max="5639" width="3.7109375" style="816" customWidth="1"/>
    <col min="5640" max="5640" width="11.42578125" style="816"/>
    <col min="5641" max="5641" width="4.42578125" style="816" customWidth="1"/>
    <col min="5642" max="5642" width="2.85546875" style="816" customWidth="1"/>
    <col min="5643" max="5889" width="11.42578125" style="816"/>
    <col min="5890" max="5890" width="32.28515625" style="816" customWidth="1"/>
    <col min="5891" max="5891" width="11.42578125" style="816"/>
    <col min="5892" max="5892" width="4.85546875" style="816" customWidth="1"/>
    <col min="5893" max="5893" width="11.42578125" style="816"/>
    <col min="5894" max="5894" width="4.85546875" style="816" customWidth="1"/>
    <col min="5895" max="5895" width="3.7109375" style="816" customWidth="1"/>
    <col min="5896" max="5896" width="11.42578125" style="816"/>
    <col min="5897" max="5897" width="4.42578125" style="816" customWidth="1"/>
    <col min="5898" max="5898" width="2.85546875" style="816" customWidth="1"/>
    <col min="5899" max="6145" width="11.42578125" style="816"/>
    <col min="6146" max="6146" width="32.28515625" style="816" customWidth="1"/>
    <col min="6147" max="6147" width="11.42578125" style="816"/>
    <col min="6148" max="6148" width="4.85546875" style="816" customWidth="1"/>
    <col min="6149" max="6149" width="11.42578125" style="816"/>
    <col min="6150" max="6150" width="4.85546875" style="816" customWidth="1"/>
    <col min="6151" max="6151" width="3.7109375" style="816" customWidth="1"/>
    <col min="6152" max="6152" width="11.42578125" style="816"/>
    <col min="6153" max="6153" width="4.42578125" style="816" customWidth="1"/>
    <col min="6154" max="6154" width="2.85546875" style="816" customWidth="1"/>
    <col min="6155" max="6401" width="11.42578125" style="816"/>
    <col min="6402" max="6402" width="32.28515625" style="816" customWidth="1"/>
    <col min="6403" max="6403" width="11.42578125" style="816"/>
    <col min="6404" max="6404" width="4.85546875" style="816" customWidth="1"/>
    <col min="6405" max="6405" width="11.42578125" style="816"/>
    <col min="6406" max="6406" width="4.85546875" style="816" customWidth="1"/>
    <col min="6407" max="6407" width="3.7109375" style="816" customWidth="1"/>
    <col min="6408" max="6408" width="11.42578125" style="816"/>
    <col min="6409" max="6409" width="4.42578125" style="816" customWidth="1"/>
    <col min="6410" max="6410" width="2.85546875" style="816" customWidth="1"/>
    <col min="6411" max="6657" width="11.42578125" style="816"/>
    <col min="6658" max="6658" width="32.28515625" style="816" customWidth="1"/>
    <col min="6659" max="6659" width="11.42578125" style="816"/>
    <col min="6660" max="6660" width="4.85546875" style="816" customWidth="1"/>
    <col min="6661" max="6661" width="11.42578125" style="816"/>
    <col min="6662" max="6662" width="4.85546875" style="816" customWidth="1"/>
    <col min="6663" max="6663" width="3.7109375" style="816" customWidth="1"/>
    <col min="6664" max="6664" width="11.42578125" style="816"/>
    <col min="6665" max="6665" width="4.42578125" style="816" customWidth="1"/>
    <col min="6666" max="6666" width="2.85546875" style="816" customWidth="1"/>
    <col min="6667" max="6913" width="11.42578125" style="816"/>
    <col min="6914" max="6914" width="32.28515625" style="816" customWidth="1"/>
    <col min="6915" max="6915" width="11.42578125" style="816"/>
    <col min="6916" max="6916" width="4.85546875" style="816" customWidth="1"/>
    <col min="6917" max="6917" width="11.42578125" style="816"/>
    <col min="6918" max="6918" width="4.85546875" style="816" customWidth="1"/>
    <col min="6919" max="6919" width="3.7109375" style="816" customWidth="1"/>
    <col min="6920" max="6920" width="11.42578125" style="816"/>
    <col min="6921" max="6921" width="4.42578125" style="816" customWidth="1"/>
    <col min="6922" max="6922" width="2.85546875" style="816" customWidth="1"/>
    <col min="6923" max="7169" width="11.42578125" style="816"/>
    <col min="7170" max="7170" width="32.28515625" style="816" customWidth="1"/>
    <col min="7171" max="7171" width="11.42578125" style="816"/>
    <col min="7172" max="7172" width="4.85546875" style="816" customWidth="1"/>
    <col min="7173" max="7173" width="11.42578125" style="816"/>
    <col min="7174" max="7174" width="4.85546875" style="816" customWidth="1"/>
    <col min="7175" max="7175" width="3.7109375" style="816" customWidth="1"/>
    <col min="7176" max="7176" width="11.42578125" style="816"/>
    <col min="7177" max="7177" width="4.42578125" style="816" customWidth="1"/>
    <col min="7178" max="7178" width="2.85546875" style="816" customWidth="1"/>
    <col min="7179" max="7425" width="11.42578125" style="816"/>
    <col min="7426" max="7426" width="32.28515625" style="816" customWidth="1"/>
    <col min="7427" max="7427" width="11.42578125" style="816"/>
    <col min="7428" max="7428" width="4.85546875" style="816" customWidth="1"/>
    <col min="7429" max="7429" width="11.42578125" style="816"/>
    <col min="7430" max="7430" width="4.85546875" style="816" customWidth="1"/>
    <col min="7431" max="7431" width="3.7109375" style="816" customWidth="1"/>
    <col min="7432" max="7432" width="11.42578125" style="816"/>
    <col min="7433" max="7433" width="4.42578125" style="816" customWidth="1"/>
    <col min="7434" max="7434" width="2.85546875" style="816" customWidth="1"/>
    <col min="7435" max="7681" width="11.42578125" style="816"/>
    <col min="7682" max="7682" width="32.28515625" style="816" customWidth="1"/>
    <col min="7683" max="7683" width="11.42578125" style="816"/>
    <col min="7684" max="7684" width="4.85546875" style="816" customWidth="1"/>
    <col min="7685" max="7685" width="11.42578125" style="816"/>
    <col min="7686" max="7686" width="4.85546875" style="816" customWidth="1"/>
    <col min="7687" max="7687" width="3.7109375" style="816" customWidth="1"/>
    <col min="7688" max="7688" width="11.42578125" style="816"/>
    <col min="7689" max="7689" width="4.42578125" style="816" customWidth="1"/>
    <col min="7690" max="7690" width="2.85546875" style="816" customWidth="1"/>
    <col min="7691" max="7937" width="11.42578125" style="816"/>
    <col min="7938" max="7938" width="32.28515625" style="816" customWidth="1"/>
    <col min="7939" max="7939" width="11.42578125" style="816"/>
    <col min="7940" max="7940" width="4.85546875" style="816" customWidth="1"/>
    <col min="7941" max="7941" width="11.42578125" style="816"/>
    <col min="7942" max="7942" width="4.85546875" style="816" customWidth="1"/>
    <col min="7943" max="7943" width="3.7109375" style="816" customWidth="1"/>
    <col min="7944" max="7944" width="11.42578125" style="816"/>
    <col min="7945" max="7945" width="4.42578125" style="816" customWidth="1"/>
    <col min="7946" max="7946" width="2.85546875" style="816" customWidth="1"/>
    <col min="7947" max="8193" width="11.42578125" style="816"/>
    <col min="8194" max="8194" width="32.28515625" style="816" customWidth="1"/>
    <col min="8195" max="8195" width="11.42578125" style="816"/>
    <col min="8196" max="8196" width="4.85546875" style="816" customWidth="1"/>
    <col min="8197" max="8197" width="11.42578125" style="816"/>
    <col min="8198" max="8198" width="4.85546875" style="816" customWidth="1"/>
    <col min="8199" max="8199" width="3.7109375" style="816" customWidth="1"/>
    <col min="8200" max="8200" width="11.42578125" style="816"/>
    <col min="8201" max="8201" width="4.42578125" style="816" customWidth="1"/>
    <col min="8202" max="8202" width="2.85546875" style="816" customWidth="1"/>
    <col min="8203" max="8449" width="11.42578125" style="816"/>
    <col min="8450" max="8450" width="32.28515625" style="816" customWidth="1"/>
    <col min="8451" max="8451" width="11.42578125" style="816"/>
    <col min="8452" max="8452" width="4.85546875" style="816" customWidth="1"/>
    <col min="8453" max="8453" width="11.42578125" style="816"/>
    <col min="8454" max="8454" width="4.85546875" style="816" customWidth="1"/>
    <col min="8455" max="8455" width="3.7109375" style="816" customWidth="1"/>
    <col min="8456" max="8456" width="11.42578125" style="816"/>
    <col min="8457" max="8457" width="4.42578125" style="816" customWidth="1"/>
    <col min="8458" max="8458" width="2.85546875" style="816" customWidth="1"/>
    <col min="8459" max="8705" width="11.42578125" style="816"/>
    <col min="8706" max="8706" width="32.28515625" style="816" customWidth="1"/>
    <col min="8707" max="8707" width="11.42578125" style="816"/>
    <col min="8708" max="8708" width="4.85546875" style="816" customWidth="1"/>
    <col min="8709" max="8709" width="11.42578125" style="816"/>
    <col min="8710" max="8710" width="4.85546875" style="816" customWidth="1"/>
    <col min="8711" max="8711" width="3.7109375" style="816" customWidth="1"/>
    <col min="8712" max="8712" width="11.42578125" style="816"/>
    <col min="8713" max="8713" width="4.42578125" style="816" customWidth="1"/>
    <col min="8714" max="8714" width="2.85546875" style="816" customWidth="1"/>
    <col min="8715" max="8961" width="11.42578125" style="816"/>
    <col min="8962" max="8962" width="32.28515625" style="816" customWidth="1"/>
    <col min="8963" max="8963" width="11.42578125" style="816"/>
    <col min="8964" max="8964" width="4.85546875" style="816" customWidth="1"/>
    <col min="8965" max="8965" width="11.42578125" style="816"/>
    <col min="8966" max="8966" width="4.85546875" style="816" customWidth="1"/>
    <col min="8967" max="8967" width="3.7109375" style="816" customWidth="1"/>
    <col min="8968" max="8968" width="11.42578125" style="816"/>
    <col min="8969" max="8969" width="4.42578125" style="816" customWidth="1"/>
    <col min="8970" max="8970" width="2.85546875" style="816" customWidth="1"/>
    <col min="8971" max="9217" width="11.42578125" style="816"/>
    <col min="9218" max="9218" width="32.28515625" style="816" customWidth="1"/>
    <col min="9219" max="9219" width="11.42578125" style="816"/>
    <col min="9220" max="9220" width="4.85546875" style="816" customWidth="1"/>
    <col min="9221" max="9221" width="11.42578125" style="816"/>
    <col min="9222" max="9222" width="4.85546875" style="816" customWidth="1"/>
    <col min="9223" max="9223" width="3.7109375" style="816" customWidth="1"/>
    <col min="9224" max="9224" width="11.42578125" style="816"/>
    <col min="9225" max="9225" width="4.42578125" style="816" customWidth="1"/>
    <col min="9226" max="9226" width="2.85546875" style="816" customWidth="1"/>
    <col min="9227" max="9473" width="11.42578125" style="816"/>
    <col min="9474" max="9474" width="32.28515625" style="816" customWidth="1"/>
    <col min="9475" max="9475" width="11.42578125" style="816"/>
    <col min="9476" max="9476" width="4.85546875" style="816" customWidth="1"/>
    <col min="9477" max="9477" width="11.42578125" style="816"/>
    <col min="9478" max="9478" width="4.85546875" style="816" customWidth="1"/>
    <col min="9479" max="9479" width="3.7109375" style="816" customWidth="1"/>
    <col min="9480" max="9480" width="11.42578125" style="816"/>
    <col min="9481" max="9481" width="4.42578125" style="816" customWidth="1"/>
    <col min="9482" max="9482" width="2.85546875" style="816" customWidth="1"/>
    <col min="9483" max="9729" width="11.42578125" style="816"/>
    <col min="9730" max="9730" width="32.28515625" style="816" customWidth="1"/>
    <col min="9731" max="9731" width="11.42578125" style="816"/>
    <col min="9732" max="9732" width="4.85546875" style="816" customWidth="1"/>
    <col min="9733" max="9733" width="11.42578125" style="816"/>
    <col min="9734" max="9734" width="4.85546875" style="816" customWidth="1"/>
    <col min="9735" max="9735" width="3.7109375" style="816" customWidth="1"/>
    <col min="9736" max="9736" width="11.42578125" style="816"/>
    <col min="9737" max="9737" width="4.42578125" style="816" customWidth="1"/>
    <col min="9738" max="9738" width="2.85546875" style="816" customWidth="1"/>
    <col min="9739" max="9985" width="11.42578125" style="816"/>
    <col min="9986" max="9986" width="32.28515625" style="816" customWidth="1"/>
    <col min="9987" max="9987" width="11.42578125" style="816"/>
    <col min="9988" max="9988" width="4.85546875" style="816" customWidth="1"/>
    <col min="9989" max="9989" width="11.42578125" style="816"/>
    <col min="9990" max="9990" width="4.85546875" style="816" customWidth="1"/>
    <col min="9991" max="9991" width="3.7109375" style="816" customWidth="1"/>
    <col min="9992" max="9992" width="11.42578125" style="816"/>
    <col min="9993" max="9993" width="4.42578125" style="816" customWidth="1"/>
    <col min="9994" max="9994" width="2.85546875" style="816" customWidth="1"/>
    <col min="9995" max="10241" width="11.42578125" style="816"/>
    <col min="10242" max="10242" width="32.28515625" style="816" customWidth="1"/>
    <col min="10243" max="10243" width="11.42578125" style="816"/>
    <col min="10244" max="10244" width="4.85546875" style="816" customWidth="1"/>
    <col min="10245" max="10245" width="11.42578125" style="816"/>
    <col min="10246" max="10246" width="4.85546875" style="816" customWidth="1"/>
    <col min="10247" max="10247" width="3.7109375" style="816" customWidth="1"/>
    <col min="10248" max="10248" width="11.42578125" style="816"/>
    <col min="10249" max="10249" width="4.42578125" style="816" customWidth="1"/>
    <col min="10250" max="10250" width="2.85546875" style="816" customWidth="1"/>
    <col min="10251" max="10497" width="11.42578125" style="816"/>
    <col min="10498" max="10498" width="32.28515625" style="816" customWidth="1"/>
    <col min="10499" max="10499" width="11.42578125" style="816"/>
    <col min="10500" max="10500" width="4.85546875" style="816" customWidth="1"/>
    <col min="10501" max="10501" width="11.42578125" style="816"/>
    <col min="10502" max="10502" width="4.85546875" style="816" customWidth="1"/>
    <col min="10503" max="10503" width="3.7109375" style="816" customWidth="1"/>
    <col min="10504" max="10504" width="11.42578125" style="816"/>
    <col min="10505" max="10505" width="4.42578125" style="816" customWidth="1"/>
    <col min="10506" max="10506" width="2.85546875" style="816" customWidth="1"/>
    <col min="10507" max="10753" width="11.42578125" style="816"/>
    <col min="10754" max="10754" width="32.28515625" style="816" customWidth="1"/>
    <col min="10755" max="10755" width="11.42578125" style="816"/>
    <col min="10756" max="10756" width="4.85546875" style="816" customWidth="1"/>
    <col min="10757" max="10757" width="11.42578125" style="816"/>
    <col min="10758" max="10758" width="4.85546875" style="816" customWidth="1"/>
    <col min="10759" max="10759" width="3.7109375" style="816" customWidth="1"/>
    <col min="10760" max="10760" width="11.42578125" style="816"/>
    <col min="10761" max="10761" width="4.42578125" style="816" customWidth="1"/>
    <col min="10762" max="10762" width="2.85546875" style="816" customWidth="1"/>
    <col min="10763" max="11009" width="11.42578125" style="816"/>
    <col min="11010" max="11010" width="32.28515625" style="816" customWidth="1"/>
    <col min="11011" max="11011" width="11.42578125" style="816"/>
    <col min="11012" max="11012" width="4.85546875" style="816" customWidth="1"/>
    <col min="11013" max="11013" width="11.42578125" style="816"/>
    <col min="11014" max="11014" width="4.85546875" style="816" customWidth="1"/>
    <col min="11015" max="11015" width="3.7109375" style="816" customWidth="1"/>
    <col min="11016" max="11016" width="11.42578125" style="816"/>
    <col min="11017" max="11017" width="4.42578125" style="816" customWidth="1"/>
    <col min="11018" max="11018" width="2.85546875" style="816" customWidth="1"/>
    <col min="11019" max="11265" width="11.42578125" style="816"/>
    <col min="11266" max="11266" width="32.28515625" style="816" customWidth="1"/>
    <col min="11267" max="11267" width="11.42578125" style="816"/>
    <col min="11268" max="11268" width="4.85546875" style="816" customWidth="1"/>
    <col min="11269" max="11269" width="11.42578125" style="816"/>
    <col min="11270" max="11270" width="4.85546875" style="816" customWidth="1"/>
    <col min="11271" max="11271" width="3.7109375" style="816" customWidth="1"/>
    <col min="11272" max="11272" width="11.42578125" style="816"/>
    <col min="11273" max="11273" width="4.42578125" style="816" customWidth="1"/>
    <col min="11274" max="11274" width="2.85546875" style="816" customWidth="1"/>
    <col min="11275" max="11521" width="11.42578125" style="816"/>
    <col min="11522" max="11522" width="32.28515625" style="816" customWidth="1"/>
    <col min="11523" max="11523" width="11.42578125" style="816"/>
    <col min="11524" max="11524" width="4.85546875" style="816" customWidth="1"/>
    <col min="11525" max="11525" width="11.42578125" style="816"/>
    <col min="11526" max="11526" width="4.85546875" style="816" customWidth="1"/>
    <col min="11527" max="11527" width="3.7109375" style="816" customWidth="1"/>
    <col min="11528" max="11528" width="11.42578125" style="816"/>
    <col min="11529" max="11529" width="4.42578125" style="816" customWidth="1"/>
    <col min="11530" max="11530" width="2.85546875" style="816" customWidth="1"/>
    <col min="11531" max="11777" width="11.42578125" style="816"/>
    <col min="11778" max="11778" width="32.28515625" style="816" customWidth="1"/>
    <col min="11779" max="11779" width="11.42578125" style="816"/>
    <col min="11780" max="11780" width="4.85546875" style="816" customWidth="1"/>
    <col min="11781" max="11781" width="11.42578125" style="816"/>
    <col min="11782" max="11782" width="4.85546875" style="816" customWidth="1"/>
    <col min="11783" max="11783" width="3.7109375" style="816" customWidth="1"/>
    <col min="11784" max="11784" width="11.42578125" style="816"/>
    <col min="11785" max="11785" width="4.42578125" style="816" customWidth="1"/>
    <col min="11786" max="11786" width="2.85546875" style="816" customWidth="1"/>
    <col min="11787" max="12033" width="11.42578125" style="816"/>
    <col min="12034" max="12034" width="32.28515625" style="816" customWidth="1"/>
    <col min="12035" max="12035" width="11.42578125" style="816"/>
    <col min="12036" max="12036" width="4.85546875" style="816" customWidth="1"/>
    <col min="12037" max="12037" width="11.42578125" style="816"/>
    <col min="12038" max="12038" width="4.85546875" style="816" customWidth="1"/>
    <col min="12039" max="12039" width="3.7109375" style="816" customWidth="1"/>
    <col min="12040" max="12040" width="11.42578125" style="816"/>
    <col min="12041" max="12041" width="4.42578125" style="816" customWidth="1"/>
    <col min="12042" max="12042" width="2.85546875" style="816" customWidth="1"/>
    <col min="12043" max="12289" width="11.42578125" style="816"/>
    <col min="12290" max="12290" width="32.28515625" style="816" customWidth="1"/>
    <col min="12291" max="12291" width="11.42578125" style="816"/>
    <col min="12292" max="12292" width="4.85546875" style="816" customWidth="1"/>
    <col min="12293" max="12293" width="11.42578125" style="816"/>
    <col min="12294" max="12294" width="4.85546875" style="816" customWidth="1"/>
    <col min="12295" max="12295" width="3.7109375" style="816" customWidth="1"/>
    <col min="12296" max="12296" width="11.42578125" style="816"/>
    <col min="12297" max="12297" width="4.42578125" style="816" customWidth="1"/>
    <col min="12298" max="12298" width="2.85546875" style="816" customWidth="1"/>
    <col min="12299" max="12545" width="11.42578125" style="816"/>
    <col min="12546" max="12546" width="32.28515625" style="816" customWidth="1"/>
    <col min="12547" max="12547" width="11.42578125" style="816"/>
    <col min="12548" max="12548" width="4.85546875" style="816" customWidth="1"/>
    <col min="12549" max="12549" width="11.42578125" style="816"/>
    <col min="12550" max="12550" width="4.85546875" style="816" customWidth="1"/>
    <col min="12551" max="12551" width="3.7109375" style="816" customWidth="1"/>
    <col min="12552" max="12552" width="11.42578125" style="816"/>
    <col min="12553" max="12553" width="4.42578125" style="816" customWidth="1"/>
    <col min="12554" max="12554" width="2.85546875" style="816" customWidth="1"/>
    <col min="12555" max="12801" width="11.42578125" style="816"/>
    <col min="12802" max="12802" width="32.28515625" style="816" customWidth="1"/>
    <col min="12803" max="12803" width="11.42578125" style="816"/>
    <col min="12804" max="12804" width="4.85546875" style="816" customWidth="1"/>
    <col min="12805" max="12805" width="11.42578125" style="816"/>
    <col min="12806" max="12806" width="4.85546875" style="816" customWidth="1"/>
    <col min="12807" max="12807" width="3.7109375" style="816" customWidth="1"/>
    <col min="12808" max="12808" width="11.42578125" style="816"/>
    <col min="12809" max="12809" width="4.42578125" style="816" customWidth="1"/>
    <col min="12810" max="12810" width="2.85546875" style="816" customWidth="1"/>
    <col min="12811" max="13057" width="11.42578125" style="816"/>
    <col min="13058" max="13058" width="32.28515625" style="816" customWidth="1"/>
    <col min="13059" max="13059" width="11.42578125" style="816"/>
    <col min="13060" max="13060" width="4.85546875" style="816" customWidth="1"/>
    <col min="13061" max="13061" width="11.42578125" style="816"/>
    <col min="13062" max="13062" width="4.85546875" style="816" customWidth="1"/>
    <col min="13063" max="13063" width="3.7109375" style="816" customWidth="1"/>
    <col min="13064" max="13064" width="11.42578125" style="816"/>
    <col min="13065" max="13065" width="4.42578125" style="816" customWidth="1"/>
    <col min="13066" max="13066" width="2.85546875" style="816" customWidth="1"/>
    <col min="13067" max="13313" width="11.42578125" style="816"/>
    <col min="13314" max="13314" width="32.28515625" style="816" customWidth="1"/>
    <col min="13315" max="13315" width="11.42578125" style="816"/>
    <col min="13316" max="13316" width="4.85546875" style="816" customWidth="1"/>
    <col min="13317" max="13317" width="11.42578125" style="816"/>
    <col min="13318" max="13318" width="4.85546875" style="816" customWidth="1"/>
    <col min="13319" max="13319" width="3.7109375" style="816" customWidth="1"/>
    <col min="13320" max="13320" width="11.42578125" style="816"/>
    <col min="13321" max="13321" width="4.42578125" style="816" customWidth="1"/>
    <col min="13322" max="13322" width="2.85546875" style="816" customWidth="1"/>
    <col min="13323" max="13569" width="11.42578125" style="816"/>
    <col min="13570" max="13570" width="32.28515625" style="816" customWidth="1"/>
    <col min="13571" max="13571" width="11.42578125" style="816"/>
    <col min="13572" max="13572" width="4.85546875" style="816" customWidth="1"/>
    <col min="13573" max="13573" width="11.42578125" style="816"/>
    <col min="13574" max="13574" width="4.85546875" style="816" customWidth="1"/>
    <col min="13575" max="13575" width="3.7109375" style="816" customWidth="1"/>
    <col min="13576" max="13576" width="11.42578125" style="816"/>
    <col min="13577" max="13577" width="4.42578125" style="816" customWidth="1"/>
    <col min="13578" max="13578" width="2.85546875" style="816" customWidth="1"/>
    <col min="13579" max="13825" width="11.42578125" style="816"/>
    <col min="13826" max="13826" width="32.28515625" style="816" customWidth="1"/>
    <col min="13827" max="13827" width="11.42578125" style="816"/>
    <col min="13828" max="13828" width="4.85546875" style="816" customWidth="1"/>
    <col min="13829" max="13829" width="11.42578125" style="816"/>
    <col min="13830" max="13830" width="4.85546875" style="816" customWidth="1"/>
    <col min="13831" max="13831" width="3.7109375" style="816" customWidth="1"/>
    <col min="13832" max="13832" width="11.42578125" style="816"/>
    <col min="13833" max="13833" width="4.42578125" style="816" customWidth="1"/>
    <col min="13834" max="13834" width="2.85546875" style="816" customWidth="1"/>
    <col min="13835" max="14081" width="11.42578125" style="816"/>
    <col min="14082" max="14082" width="32.28515625" style="816" customWidth="1"/>
    <col min="14083" max="14083" width="11.42578125" style="816"/>
    <col min="14084" max="14084" width="4.85546875" style="816" customWidth="1"/>
    <col min="14085" max="14085" width="11.42578125" style="816"/>
    <col min="14086" max="14086" width="4.85546875" style="816" customWidth="1"/>
    <col min="14087" max="14087" width="3.7109375" style="816" customWidth="1"/>
    <col min="14088" max="14088" width="11.42578125" style="816"/>
    <col min="14089" max="14089" width="4.42578125" style="816" customWidth="1"/>
    <col min="14090" max="14090" width="2.85546875" style="816" customWidth="1"/>
    <col min="14091" max="14337" width="11.42578125" style="816"/>
    <col min="14338" max="14338" width="32.28515625" style="816" customWidth="1"/>
    <col min="14339" max="14339" width="11.42578125" style="816"/>
    <col min="14340" max="14340" width="4.85546875" style="816" customWidth="1"/>
    <col min="14341" max="14341" width="11.42578125" style="816"/>
    <col min="14342" max="14342" width="4.85546875" style="816" customWidth="1"/>
    <col min="14343" max="14343" width="3.7109375" style="816" customWidth="1"/>
    <col min="14344" max="14344" width="11.42578125" style="816"/>
    <col min="14345" max="14345" width="4.42578125" style="816" customWidth="1"/>
    <col min="14346" max="14346" width="2.85546875" style="816" customWidth="1"/>
    <col min="14347" max="14593" width="11.42578125" style="816"/>
    <col min="14594" max="14594" width="32.28515625" style="816" customWidth="1"/>
    <col min="14595" max="14595" width="11.42578125" style="816"/>
    <col min="14596" max="14596" width="4.85546875" style="816" customWidth="1"/>
    <col min="14597" max="14597" width="11.42578125" style="816"/>
    <col min="14598" max="14598" width="4.85546875" style="816" customWidth="1"/>
    <col min="14599" max="14599" width="3.7109375" style="816" customWidth="1"/>
    <col min="14600" max="14600" width="11.42578125" style="816"/>
    <col min="14601" max="14601" width="4.42578125" style="816" customWidth="1"/>
    <col min="14602" max="14602" width="2.85546875" style="816" customWidth="1"/>
    <col min="14603" max="14849" width="11.42578125" style="816"/>
    <col min="14850" max="14850" width="32.28515625" style="816" customWidth="1"/>
    <col min="14851" max="14851" width="11.42578125" style="816"/>
    <col min="14852" max="14852" width="4.85546875" style="816" customWidth="1"/>
    <col min="14853" max="14853" width="11.42578125" style="816"/>
    <col min="14854" max="14854" width="4.85546875" style="816" customWidth="1"/>
    <col min="14855" max="14855" width="3.7109375" style="816" customWidth="1"/>
    <col min="14856" max="14856" width="11.42578125" style="816"/>
    <col min="14857" max="14857" width="4.42578125" style="816" customWidth="1"/>
    <col min="14858" max="14858" width="2.85546875" style="816" customWidth="1"/>
    <col min="14859" max="15105" width="11.42578125" style="816"/>
    <col min="15106" max="15106" width="32.28515625" style="816" customWidth="1"/>
    <col min="15107" max="15107" width="11.42578125" style="816"/>
    <col min="15108" max="15108" width="4.85546875" style="816" customWidth="1"/>
    <col min="15109" max="15109" width="11.42578125" style="816"/>
    <col min="15110" max="15110" width="4.85546875" style="816" customWidth="1"/>
    <col min="15111" max="15111" width="3.7109375" style="816" customWidth="1"/>
    <col min="15112" max="15112" width="11.42578125" style="816"/>
    <col min="15113" max="15113" width="4.42578125" style="816" customWidth="1"/>
    <col min="15114" max="15114" width="2.85546875" style="816" customWidth="1"/>
    <col min="15115" max="15361" width="11.42578125" style="816"/>
    <col min="15362" max="15362" width="32.28515625" style="816" customWidth="1"/>
    <col min="15363" max="15363" width="11.42578125" style="816"/>
    <col min="15364" max="15364" width="4.85546875" style="816" customWidth="1"/>
    <col min="15365" max="15365" width="11.42578125" style="816"/>
    <col min="15366" max="15366" width="4.85546875" style="816" customWidth="1"/>
    <col min="15367" max="15367" width="3.7109375" style="816" customWidth="1"/>
    <col min="15368" max="15368" width="11.42578125" style="816"/>
    <col min="15369" max="15369" width="4.42578125" style="816" customWidth="1"/>
    <col min="15370" max="15370" width="2.85546875" style="816" customWidth="1"/>
    <col min="15371" max="15617" width="11.42578125" style="816"/>
    <col min="15618" max="15618" width="32.28515625" style="816" customWidth="1"/>
    <col min="15619" max="15619" width="11.42578125" style="816"/>
    <col min="15620" max="15620" width="4.85546875" style="816" customWidth="1"/>
    <col min="15621" max="15621" width="11.42578125" style="816"/>
    <col min="15622" max="15622" width="4.85546875" style="816" customWidth="1"/>
    <col min="15623" max="15623" width="3.7109375" style="816" customWidth="1"/>
    <col min="15624" max="15624" width="11.42578125" style="816"/>
    <col min="15625" max="15625" width="4.42578125" style="816" customWidth="1"/>
    <col min="15626" max="15626" width="2.85546875" style="816" customWidth="1"/>
    <col min="15627" max="15873" width="11.42578125" style="816"/>
    <col min="15874" max="15874" width="32.28515625" style="816" customWidth="1"/>
    <col min="15875" max="15875" width="11.42578125" style="816"/>
    <col min="15876" max="15876" width="4.85546875" style="816" customWidth="1"/>
    <col min="15877" max="15877" width="11.42578125" style="816"/>
    <col min="15878" max="15878" width="4.85546875" style="816" customWidth="1"/>
    <col min="15879" max="15879" width="3.7109375" style="816" customWidth="1"/>
    <col min="15880" max="15880" width="11.42578125" style="816"/>
    <col min="15881" max="15881" width="4.42578125" style="816" customWidth="1"/>
    <col min="15882" max="15882" width="2.85546875" style="816" customWidth="1"/>
    <col min="15883" max="16129" width="11.42578125" style="816"/>
    <col min="16130" max="16130" width="32.28515625" style="816" customWidth="1"/>
    <col min="16131" max="16131" width="11.42578125" style="816"/>
    <col min="16132" max="16132" width="4.85546875" style="816" customWidth="1"/>
    <col min="16133" max="16133" width="11.42578125" style="816"/>
    <col min="16134" max="16134" width="4.85546875" style="816" customWidth="1"/>
    <col min="16135" max="16135" width="3.7109375" style="816" customWidth="1"/>
    <col min="16136" max="16136" width="11.42578125" style="816"/>
    <col min="16137" max="16137" width="4.42578125" style="816" customWidth="1"/>
    <col min="16138" max="16138" width="2.85546875" style="816" customWidth="1"/>
    <col min="16139" max="16384" width="11.42578125" style="816"/>
  </cols>
  <sheetData>
    <row r="3" spans="2:12">
      <c r="B3" s="816" t="s">
        <v>4428</v>
      </c>
    </row>
    <row r="4" spans="2:12">
      <c r="B4" s="816" t="s">
        <v>4429</v>
      </c>
    </row>
    <row r="5" spans="2:12">
      <c r="B5" s="816" t="s">
        <v>4430</v>
      </c>
    </row>
    <row r="8" spans="2:12">
      <c r="B8" s="816" t="s">
        <v>1356</v>
      </c>
      <c r="C8" s="1549">
        <v>8</v>
      </c>
      <c r="E8" s="1549">
        <v>8</v>
      </c>
      <c r="H8" s="1549">
        <v>8</v>
      </c>
      <c r="K8" s="1549">
        <v>8</v>
      </c>
    </row>
    <row r="9" spans="2:12">
      <c r="B9" s="816" t="s">
        <v>1773</v>
      </c>
      <c r="C9" s="1549">
        <v>8</v>
      </c>
      <c r="D9" s="816" t="s">
        <v>212</v>
      </c>
      <c r="E9" s="816">
        <v>8</v>
      </c>
      <c r="F9" s="816" t="s">
        <v>212</v>
      </c>
      <c r="H9" s="816">
        <v>8</v>
      </c>
      <c r="I9" s="816" t="s">
        <v>212</v>
      </c>
      <c r="K9" s="816">
        <v>8</v>
      </c>
      <c r="L9" s="816" t="s">
        <v>212</v>
      </c>
    </row>
    <row r="10" spans="2:12">
      <c r="B10" s="816" t="s">
        <v>3342</v>
      </c>
      <c r="C10" s="1549">
        <v>3.0000000000000001E-3</v>
      </c>
      <c r="D10" s="816" t="s">
        <v>212</v>
      </c>
      <c r="E10" s="816">
        <v>3.0000000000000001E-3</v>
      </c>
      <c r="F10" s="816" t="s">
        <v>212</v>
      </c>
      <c r="H10" s="816">
        <v>3.0000000000000001E-3</v>
      </c>
      <c r="I10" s="816" t="s">
        <v>212</v>
      </c>
      <c r="K10" s="816">
        <v>3.0000000000000001E-3</v>
      </c>
      <c r="L10" s="816" t="s">
        <v>212</v>
      </c>
    </row>
    <row r="11" spans="2:12">
      <c r="B11" s="816" t="s">
        <v>1959</v>
      </c>
      <c r="C11" s="1549">
        <v>100</v>
      </c>
      <c r="D11" s="816" t="s">
        <v>212</v>
      </c>
      <c r="E11" s="816">
        <v>300</v>
      </c>
      <c r="F11" s="816" t="s">
        <v>212</v>
      </c>
      <c r="H11" s="816">
        <v>500</v>
      </c>
      <c r="I11" s="816" t="s">
        <v>212</v>
      </c>
      <c r="K11" s="816">
        <v>700</v>
      </c>
      <c r="L11" s="816" t="s">
        <v>212</v>
      </c>
    </row>
    <row r="13" spans="2:12">
      <c r="B13" s="816" t="s">
        <v>4424</v>
      </c>
      <c r="C13" s="826">
        <v>2666.6666666666665</v>
      </c>
      <c r="D13" s="816" t="s">
        <v>212</v>
      </c>
      <c r="E13" s="826">
        <v>2666.6666666666665</v>
      </c>
      <c r="F13" s="816" t="s">
        <v>212</v>
      </c>
      <c r="H13" s="826">
        <v>2666.6666666666665</v>
      </c>
      <c r="I13" s="816" t="s">
        <v>212</v>
      </c>
      <c r="K13" s="826">
        <v>2666.6666666666665</v>
      </c>
      <c r="L13" s="816" t="s">
        <v>212</v>
      </c>
    </row>
    <row r="14" spans="2:12">
      <c r="B14" s="816" t="s">
        <v>4410</v>
      </c>
      <c r="C14" s="826">
        <v>96.66505558240695</v>
      </c>
      <c r="D14" s="816" t="s">
        <v>212</v>
      </c>
      <c r="E14" s="826">
        <v>270.39206849932401</v>
      </c>
      <c r="F14" s="816" t="s">
        <v>212</v>
      </c>
      <c r="H14" s="826">
        <v>422.11903756859436</v>
      </c>
      <c r="I14" s="816" t="s">
        <v>212</v>
      </c>
      <c r="K14" s="826">
        <v>555.77610162762994</v>
      </c>
      <c r="L14" s="816" t="s">
        <v>212</v>
      </c>
    </row>
    <row r="15" spans="2:12">
      <c r="B15" s="816" t="s">
        <v>4411</v>
      </c>
      <c r="C15" s="826">
        <v>103.57327809425168</v>
      </c>
      <c r="D15" s="816" t="s">
        <v>212</v>
      </c>
      <c r="E15" s="826">
        <v>336.88938798427853</v>
      </c>
      <c r="F15" s="816" t="s">
        <v>212</v>
      </c>
      <c r="H15" s="826">
        <v>613.12078479460456</v>
      </c>
      <c r="I15" s="816" t="s">
        <v>212</v>
      </c>
      <c r="K15" s="826">
        <v>945.30722484807563</v>
      </c>
      <c r="L15" s="816" t="s">
        <v>212</v>
      </c>
    </row>
    <row r="16" spans="2:12">
      <c r="B16" s="816" t="s">
        <v>4431</v>
      </c>
      <c r="C16" s="826">
        <v>6.9082225118447269</v>
      </c>
      <c r="D16" s="816" t="s">
        <v>212</v>
      </c>
      <c r="E16" s="826">
        <v>66.497319484954517</v>
      </c>
      <c r="F16" s="816" t="s">
        <v>212</v>
      </c>
      <c r="H16" s="826">
        <v>191.0017472260102</v>
      </c>
      <c r="I16" s="816" t="s">
        <v>212</v>
      </c>
      <c r="K16" s="826">
        <v>389.53112322044569</v>
      </c>
      <c r="L16" s="816" t="s">
        <v>212</v>
      </c>
    </row>
    <row r="17" spans="2:12">
      <c r="B17" s="816" t="s">
        <v>4426</v>
      </c>
      <c r="C17" s="826">
        <v>6.9082225118447242</v>
      </c>
      <c r="D17" s="816" t="s">
        <v>212</v>
      </c>
      <c r="E17" s="826">
        <v>66.497319484954488</v>
      </c>
      <c r="F17" s="816" t="s">
        <v>212</v>
      </c>
      <c r="H17" s="826">
        <v>191.00174722601022</v>
      </c>
      <c r="I17" s="816" t="s">
        <v>212</v>
      </c>
      <c r="K17" s="826">
        <v>389.53112322044564</v>
      </c>
      <c r="L17" s="816" t="s">
        <v>212</v>
      </c>
    </row>
  </sheetData>
  <pageMargins left="0.78740157499999996" right="0.78740157499999996" top="0.984251969" bottom="0.984251969" header="0.4921259845" footer="0.4921259845"/>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S41"/>
  <sheetViews>
    <sheetView zoomScale="90" zoomScaleNormal="90" workbookViewId="0">
      <selection activeCell="J26" sqref="J26"/>
    </sheetView>
  </sheetViews>
  <sheetFormatPr baseColWidth="10" defaultRowHeight="12.75"/>
  <cols>
    <col min="1" max="1" width="11.42578125" style="124"/>
    <col min="2" max="2" width="12.85546875" style="124" customWidth="1"/>
    <col min="3" max="3" width="5" style="124" customWidth="1"/>
    <col min="4" max="19" width="9.7109375" style="124" customWidth="1"/>
    <col min="20" max="257" width="11.42578125" style="124"/>
    <col min="258" max="258" width="12.85546875" style="124" customWidth="1"/>
    <col min="259" max="259" width="5" style="124" customWidth="1"/>
    <col min="260" max="275" width="9.7109375" style="124" customWidth="1"/>
    <col min="276" max="513" width="11.42578125" style="124"/>
    <col min="514" max="514" width="12.85546875" style="124" customWidth="1"/>
    <col min="515" max="515" width="5" style="124" customWidth="1"/>
    <col min="516" max="531" width="9.7109375" style="124" customWidth="1"/>
    <col min="532" max="769" width="11.42578125" style="124"/>
    <col min="770" max="770" width="12.85546875" style="124" customWidth="1"/>
    <col min="771" max="771" width="5" style="124" customWidth="1"/>
    <col min="772" max="787" width="9.7109375" style="124" customWidth="1"/>
    <col min="788" max="1025" width="11.42578125" style="124"/>
    <col min="1026" max="1026" width="12.85546875" style="124" customWidth="1"/>
    <col min="1027" max="1027" width="5" style="124" customWidth="1"/>
    <col min="1028" max="1043" width="9.7109375" style="124" customWidth="1"/>
    <col min="1044" max="1281" width="11.42578125" style="124"/>
    <col min="1282" max="1282" width="12.85546875" style="124" customWidth="1"/>
    <col min="1283" max="1283" width="5" style="124" customWidth="1"/>
    <col min="1284" max="1299" width="9.7109375" style="124" customWidth="1"/>
    <col min="1300" max="1537" width="11.42578125" style="124"/>
    <col min="1538" max="1538" width="12.85546875" style="124" customWidth="1"/>
    <col min="1539" max="1539" width="5" style="124" customWidth="1"/>
    <col min="1540" max="1555" width="9.7109375" style="124" customWidth="1"/>
    <col min="1556" max="1793" width="11.42578125" style="124"/>
    <col min="1794" max="1794" width="12.85546875" style="124" customWidth="1"/>
    <col min="1795" max="1795" width="5" style="124" customWidth="1"/>
    <col min="1796" max="1811" width="9.7109375" style="124" customWidth="1"/>
    <col min="1812" max="2049" width="11.42578125" style="124"/>
    <col min="2050" max="2050" width="12.85546875" style="124" customWidth="1"/>
    <col min="2051" max="2051" width="5" style="124" customWidth="1"/>
    <col min="2052" max="2067" width="9.7109375" style="124" customWidth="1"/>
    <col min="2068" max="2305" width="11.42578125" style="124"/>
    <col min="2306" max="2306" width="12.85546875" style="124" customWidth="1"/>
    <col min="2307" max="2307" width="5" style="124" customWidth="1"/>
    <col min="2308" max="2323" width="9.7109375" style="124" customWidth="1"/>
    <col min="2324" max="2561" width="11.42578125" style="124"/>
    <col min="2562" max="2562" width="12.85546875" style="124" customWidth="1"/>
    <col min="2563" max="2563" width="5" style="124" customWidth="1"/>
    <col min="2564" max="2579" width="9.7109375" style="124" customWidth="1"/>
    <col min="2580" max="2817" width="11.42578125" style="124"/>
    <col min="2818" max="2818" width="12.85546875" style="124" customWidth="1"/>
    <col min="2819" max="2819" width="5" style="124" customWidth="1"/>
    <col min="2820" max="2835" width="9.7109375" style="124" customWidth="1"/>
    <col min="2836" max="3073" width="11.42578125" style="124"/>
    <col min="3074" max="3074" width="12.85546875" style="124" customWidth="1"/>
    <col min="3075" max="3075" width="5" style="124" customWidth="1"/>
    <col min="3076" max="3091" width="9.7109375" style="124" customWidth="1"/>
    <col min="3092" max="3329" width="11.42578125" style="124"/>
    <col min="3330" max="3330" width="12.85546875" style="124" customWidth="1"/>
    <col min="3331" max="3331" width="5" style="124" customWidth="1"/>
    <col min="3332" max="3347" width="9.7109375" style="124" customWidth="1"/>
    <col min="3348" max="3585" width="11.42578125" style="124"/>
    <col min="3586" max="3586" width="12.85546875" style="124" customWidth="1"/>
    <col min="3587" max="3587" width="5" style="124" customWidth="1"/>
    <col min="3588" max="3603" width="9.7109375" style="124" customWidth="1"/>
    <col min="3604" max="3841" width="11.42578125" style="124"/>
    <col min="3842" max="3842" width="12.85546875" style="124" customWidth="1"/>
    <col min="3843" max="3843" width="5" style="124" customWidth="1"/>
    <col min="3844" max="3859" width="9.7109375" style="124" customWidth="1"/>
    <col min="3860" max="4097" width="11.42578125" style="124"/>
    <col min="4098" max="4098" width="12.85546875" style="124" customWidth="1"/>
    <col min="4099" max="4099" width="5" style="124" customWidth="1"/>
    <col min="4100" max="4115" width="9.7109375" style="124" customWidth="1"/>
    <col min="4116" max="4353" width="11.42578125" style="124"/>
    <col min="4354" max="4354" width="12.85546875" style="124" customWidth="1"/>
    <col min="4355" max="4355" width="5" style="124" customWidth="1"/>
    <col min="4356" max="4371" width="9.7109375" style="124" customWidth="1"/>
    <col min="4372" max="4609" width="11.42578125" style="124"/>
    <col min="4610" max="4610" width="12.85546875" style="124" customWidth="1"/>
    <col min="4611" max="4611" width="5" style="124" customWidth="1"/>
    <col min="4612" max="4627" width="9.7109375" style="124" customWidth="1"/>
    <col min="4628" max="4865" width="11.42578125" style="124"/>
    <col min="4866" max="4866" width="12.85546875" style="124" customWidth="1"/>
    <col min="4867" max="4867" width="5" style="124" customWidth="1"/>
    <col min="4868" max="4883" width="9.7109375" style="124" customWidth="1"/>
    <col min="4884" max="5121" width="11.42578125" style="124"/>
    <col min="5122" max="5122" width="12.85546875" style="124" customWidth="1"/>
    <col min="5123" max="5123" width="5" style="124" customWidth="1"/>
    <col min="5124" max="5139" width="9.7109375" style="124" customWidth="1"/>
    <col min="5140" max="5377" width="11.42578125" style="124"/>
    <col min="5378" max="5378" width="12.85546875" style="124" customWidth="1"/>
    <col min="5379" max="5379" width="5" style="124" customWidth="1"/>
    <col min="5380" max="5395" width="9.7109375" style="124" customWidth="1"/>
    <col min="5396" max="5633" width="11.42578125" style="124"/>
    <col min="5634" max="5634" width="12.85546875" style="124" customWidth="1"/>
    <col min="5635" max="5635" width="5" style="124" customWidth="1"/>
    <col min="5636" max="5651" width="9.7109375" style="124" customWidth="1"/>
    <col min="5652" max="5889" width="11.42578125" style="124"/>
    <col min="5890" max="5890" width="12.85546875" style="124" customWidth="1"/>
    <col min="5891" max="5891" width="5" style="124" customWidth="1"/>
    <col min="5892" max="5907" width="9.7109375" style="124" customWidth="1"/>
    <col min="5908" max="6145" width="11.42578125" style="124"/>
    <col min="6146" max="6146" width="12.85546875" style="124" customWidth="1"/>
    <col min="6147" max="6147" width="5" style="124" customWidth="1"/>
    <col min="6148" max="6163" width="9.7109375" style="124" customWidth="1"/>
    <col min="6164" max="6401" width="11.42578125" style="124"/>
    <col min="6402" max="6402" width="12.85546875" style="124" customWidth="1"/>
    <col min="6403" max="6403" width="5" style="124" customWidth="1"/>
    <col min="6404" max="6419" width="9.7109375" style="124" customWidth="1"/>
    <col min="6420" max="6657" width="11.42578125" style="124"/>
    <col min="6658" max="6658" width="12.85546875" style="124" customWidth="1"/>
    <col min="6659" max="6659" width="5" style="124" customWidth="1"/>
    <col min="6660" max="6675" width="9.7109375" style="124" customWidth="1"/>
    <col min="6676" max="6913" width="11.42578125" style="124"/>
    <col min="6914" max="6914" width="12.85546875" style="124" customWidth="1"/>
    <col min="6915" max="6915" width="5" style="124" customWidth="1"/>
    <col min="6916" max="6931" width="9.7109375" style="124" customWidth="1"/>
    <col min="6932" max="7169" width="11.42578125" style="124"/>
    <col min="7170" max="7170" width="12.85546875" style="124" customWidth="1"/>
    <col min="7171" max="7171" width="5" style="124" customWidth="1"/>
    <col min="7172" max="7187" width="9.7109375" style="124" customWidth="1"/>
    <col min="7188" max="7425" width="11.42578125" style="124"/>
    <col min="7426" max="7426" width="12.85546875" style="124" customWidth="1"/>
    <col min="7427" max="7427" width="5" style="124" customWidth="1"/>
    <col min="7428" max="7443" width="9.7109375" style="124" customWidth="1"/>
    <col min="7444" max="7681" width="11.42578125" style="124"/>
    <col min="7682" max="7682" width="12.85546875" style="124" customWidth="1"/>
    <col min="7683" max="7683" width="5" style="124" customWidth="1"/>
    <col min="7684" max="7699" width="9.7109375" style="124" customWidth="1"/>
    <col min="7700" max="7937" width="11.42578125" style="124"/>
    <col min="7938" max="7938" width="12.85546875" style="124" customWidth="1"/>
    <col min="7939" max="7939" width="5" style="124" customWidth="1"/>
    <col min="7940" max="7955" width="9.7109375" style="124" customWidth="1"/>
    <col min="7956" max="8193" width="11.42578125" style="124"/>
    <col min="8194" max="8194" width="12.85546875" style="124" customWidth="1"/>
    <col min="8195" max="8195" width="5" style="124" customWidth="1"/>
    <col min="8196" max="8211" width="9.7109375" style="124" customWidth="1"/>
    <col min="8212" max="8449" width="11.42578125" style="124"/>
    <col min="8450" max="8450" width="12.85546875" style="124" customWidth="1"/>
    <col min="8451" max="8451" width="5" style="124" customWidth="1"/>
    <col min="8452" max="8467" width="9.7109375" style="124" customWidth="1"/>
    <col min="8468" max="8705" width="11.42578125" style="124"/>
    <col min="8706" max="8706" width="12.85546875" style="124" customWidth="1"/>
    <col min="8707" max="8707" width="5" style="124" customWidth="1"/>
    <col min="8708" max="8723" width="9.7109375" style="124" customWidth="1"/>
    <col min="8724" max="8961" width="11.42578125" style="124"/>
    <col min="8962" max="8962" width="12.85546875" style="124" customWidth="1"/>
    <col min="8963" max="8963" width="5" style="124" customWidth="1"/>
    <col min="8964" max="8979" width="9.7109375" style="124" customWidth="1"/>
    <col min="8980" max="9217" width="11.42578125" style="124"/>
    <col min="9218" max="9218" width="12.85546875" style="124" customWidth="1"/>
    <col min="9219" max="9219" width="5" style="124" customWidth="1"/>
    <col min="9220" max="9235" width="9.7109375" style="124" customWidth="1"/>
    <col min="9236" max="9473" width="11.42578125" style="124"/>
    <col min="9474" max="9474" width="12.85546875" style="124" customWidth="1"/>
    <col min="9475" max="9475" width="5" style="124" customWidth="1"/>
    <col min="9476" max="9491" width="9.7109375" style="124" customWidth="1"/>
    <col min="9492" max="9729" width="11.42578125" style="124"/>
    <col min="9730" max="9730" width="12.85546875" style="124" customWidth="1"/>
    <col min="9731" max="9731" width="5" style="124" customWidth="1"/>
    <col min="9732" max="9747" width="9.7109375" style="124" customWidth="1"/>
    <col min="9748" max="9985" width="11.42578125" style="124"/>
    <col min="9986" max="9986" width="12.85546875" style="124" customWidth="1"/>
    <col min="9987" max="9987" width="5" style="124" customWidth="1"/>
    <col min="9988" max="10003" width="9.7109375" style="124" customWidth="1"/>
    <col min="10004" max="10241" width="11.42578125" style="124"/>
    <col min="10242" max="10242" width="12.85546875" style="124" customWidth="1"/>
    <col min="10243" max="10243" width="5" style="124" customWidth="1"/>
    <col min="10244" max="10259" width="9.7109375" style="124" customWidth="1"/>
    <col min="10260" max="10497" width="11.42578125" style="124"/>
    <col min="10498" max="10498" width="12.85546875" style="124" customWidth="1"/>
    <col min="10499" max="10499" width="5" style="124" customWidth="1"/>
    <col min="10500" max="10515" width="9.7109375" style="124" customWidth="1"/>
    <col min="10516" max="10753" width="11.42578125" style="124"/>
    <col min="10754" max="10754" width="12.85546875" style="124" customWidth="1"/>
    <col min="10755" max="10755" width="5" style="124" customWidth="1"/>
    <col min="10756" max="10771" width="9.7109375" style="124" customWidth="1"/>
    <col min="10772" max="11009" width="11.42578125" style="124"/>
    <col min="11010" max="11010" width="12.85546875" style="124" customWidth="1"/>
    <col min="11011" max="11011" width="5" style="124" customWidth="1"/>
    <col min="11012" max="11027" width="9.7109375" style="124" customWidth="1"/>
    <col min="11028" max="11265" width="11.42578125" style="124"/>
    <col min="11266" max="11266" width="12.85546875" style="124" customWidth="1"/>
    <col min="11267" max="11267" width="5" style="124" customWidth="1"/>
    <col min="11268" max="11283" width="9.7109375" style="124" customWidth="1"/>
    <col min="11284" max="11521" width="11.42578125" style="124"/>
    <col min="11522" max="11522" width="12.85546875" style="124" customWidth="1"/>
    <col min="11523" max="11523" width="5" style="124" customWidth="1"/>
    <col min="11524" max="11539" width="9.7109375" style="124" customWidth="1"/>
    <col min="11540" max="11777" width="11.42578125" style="124"/>
    <col min="11778" max="11778" width="12.85546875" style="124" customWidth="1"/>
    <col min="11779" max="11779" width="5" style="124" customWidth="1"/>
    <col min="11780" max="11795" width="9.7109375" style="124" customWidth="1"/>
    <col min="11796" max="12033" width="11.42578125" style="124"/>
    <col min="12034" max="12034" width="12.85546875" style="124" customWidth="1"/>
    <col min="12035" max="12035" width="5" style="124" customWidth="1"/>
    <col min="12036" max="12051" width="9.7109375" style="124" customWidth="1"/>
    <col min="12052" max="12289" width="11.42578125" style="124"/>
    <col min="12290" max="12290" width="12.85546875" style="124" customWidth="1"/>
    <col min="12291" max="12291" width="5" style="124" customWidth="1"/>
    <col min="12292" max="12307" width="9.7109375" style="124" customWidth="1"/>
    <col min="12308" max="12545" width="11.42578125" style="124"/>
    <col min="12546" max="12546" width="12.85546875" style="124" customWidth="1"/>
    <col min="12547" max="12547" width="5" style="124" customWidth="1"/>
    <col min="12548" max="12563" width="9.7109375" style="124" customWidth="1"/>
    <col min="12564" max="12801" width="11.42578125" style="124"/>
    <col min="12802" max="12802" width="12.85546875" style="124" customWidth="1"/>
    <col min="12803" max="12803" width="5" style="124" customWidth="1"/>
    <col min="12804" max="12819" width="9.7109375" style="124" customWidth="1"/>
    <col min="12820" max="13057" width="11.42578125" style="124"/>
    <col min="13058" max="13058" width="12.85546875" style="124" customWidth="1"/>
    <col min="13059" max="13059" width="5" style="124" customWidth="1"/>
    <col min="13060" max="13075" width="9.7109375" style="124" customWidth="1"/>
    <col min="13076" max="13313" width="11.42578125" style="124"/>
    <col min="13314" max="13314" width="12.85546875" style="124" customWidth="1"/>
    <col min="13315" max="13315" width="5" style="124" customWidth="1"/>
    <col min="13316" max="13331" width="9.7109375" style="124" customWidth="1"/>
    <col min="13332" max="13569" width="11.42578125" style="124"/>
    <col min="13570" max="13570" width="12.85546875" style="124" customWidth="1"/>
    <col min="13571" max="13571" width="5" style="124" customWidth="1"/>
    <col min="13572" max="13587" width="9.7109375" style="124" customWidth="1"/>
    <col min="13588" max="13825" width="11.42578125" style="124"/>
    <col min="13826" max="13826" width="12.85546875" style="124" customWidth="1"/>
    <col min="13827" max="13827" width="5" style="124" customWidth="1"/>
    <col min="13828" max="13843" width="9.7109375" style="124" customWidth="1"/>
    <col min="13844" max="14081" width="11.42578125" style="124"/>
    <col min="14082" max="14082" width="12.85546875" style="124" customWidth="1"/>
    <col min="14083" max="14083" width="5" style="124" customWidth="1"/>
    <col min="14084" max="14099" width="9.7109375" style="124" customWidth="1"/>
    <col min="14100" max="14337" width="11.42578125" style="124"/>
    <col min="14338" max="14338" width="12.85546875" style="124" customWidth="1"/>
    <col min="14339" max="14339" width="5" style="124" customWidth="1"/>
    <col min="14340" max="14355" width="9.7109375" style="124" customWidth="1"/>
    <col min="14356" max="14593" width="11.42578125" style="124"/>
    <col min="14594" max="14594" width="12.85546875" style="124" customWidth="1"/>
    <col min="14595" max="14595" width="5" style="124" customWidth="1"/>
    <col min="14596" max="14611" width="9.7109375" style="124" customWidth="1"/>
    <col min="14612" max="14849" width="11.42578125" style="124"/>
    <col min="14850" max="14850" width="12.85546875" style="124" customWidth="1"/>
    <col min="14851" max="14851" width="5" style="124" customWidth="1"/>
    <col min="14852" max="14867" width="9.7109375" style="124" customWidth="1"/>
    <col min="14868" max="15105" width="11.42578125" style="124"/>
    <col min="15106" max="15106" width="12.85546875" style="124" customWidth="1"/>
    <col min="15107" max="15107" width="5" style="124" customWidth="1"/>
    <col min="15108" max="15123" width="9.7109375" style="124" customWidth="1"/>
    <col min="15124" max="15361" width="11.42578125" style="124"/>
    <col min="15362" max="15362" width="12.85546875" style="124" customWidth="1"/>
    <col min="15363" max="15363" width="5" style="124" customWidth="1"/>
    <col min="15364" max="15379" width="9.7109375" style="124" customWidth="1"/>
    <col min="15380" max="15617" width="11.42578125" style="124"/>
    <col min="15618" max="15618" width="12.85546875" style="124" customWidth="1"/>
    <col min="15619" max="15619" width="5" style="124" customWidth="1"/>
    <col min="15620" max="15635" width="9.7109375" style="124" customWidth="1"/>
    <col min="15636" max="15873" width="11.42578125" style="124"/>
    <col min="15874" max="15874" width="12.85546875" style="124" customWidth="1"/>
    <col min="15875" max="15875" width="5" style="124" customWidth="1"/>
    <col min="15876" max="15891" width="9.7109375" style="124" customWidth="1"/>
    <col min="15892" max="16129" width="11.42578125" style="124"/>
    <col min="16130" max="16130" width="12.85546875" style="124" customWidth="1"/>
    <col min="16131" max="16131" width="5" style="124" customWidth="1"/>
    <col min="16132" max="16147" width="9.7109375" style="124" customWidth="1"/>
    <col min="16148" max="16384" width="11.42578125" style="124"/>
  </cols>
  <sheetData>
    <row r="3" spans="2:19">
      <c r="B3" s="1555" t="s">
        <v>4432</v>
      </c>
    </row>
    <row r="4" spans="2:19">
      <c r="B4" s="1555" t="s">
        <v>4433</v>
      </c>
    </row>
    <row r="5" spans="2:19">
      <c r="B5" s="124" t="s">
        <v>4434</v>
      </c>
    </row>
    <row r="6" spans="2:19">
      <c r="B6" s="124" t="s">
        <v>4435</v>
      </c>
    </row>
    <row r="7" spans="2:19">
      <c r="B7" s="124" t="s">
        <v>4436</v>
      </c>
    </row>
    <row r="8" spans="2:19">
      <c r="B8" s="124" t="s">
        <v>4437</v>
      </c>
    </row>
    <row r="11" spans="2:19">
      <c r="D11" s="134"/>
      <c r="F11" s="134" t="s">
        <v>1773</v>
      </c>
      <c r="G11" s="1556">
        <v>50</v>
      </c>
      <c r="H11" s="124" t="s">
        <v>344</v>
      </c>
    </row>
    <row r="12" spans="2:19">
      <c r="F12" s="134" t="s">
        <v>3342</v>
      </c>
      <c r="G12" s="1557">
        <v>0.03</v>
      </c>
      <c r="H12" s="124" t="s">
        <v>344</v>
      </c>
    </row>
    <row r="14" spans="2:19">
      <c r="B14" s="164"/>
      <c r="C14" s="1558" t="s">
        <v>4438</v>
      </c>
      <c r="D14" s="1559">
        <v>29761.904761904763</v>
      </c>
      <c r="E14" s="1559">
        <v>29761.904761904763</v>
      </c>
      <c r="F14" s="1559">
        <v>20833.333333333336</v>
      </c>
      <c r="G14" s="1559">
        <v>20833.333333333336</v>
      </c>
      <c r="H14" s="1559">
        <v>14880.952380952382</v>
      </c>
      <c r="I14" s="1559">
        <v>14880.952380952382</v>
      </c>
      <c r="J14" s="1559">
        <v>10416.666666666668</v>
      </c>
      <c r="K14" s="1559">
        <v>10416.666666666668</v>
      </c>
      <c r="L14" s="1559">
        <v>7575.7575757575769</v>
      </c>
      <c r="M14" s="1559">
        <v>7575.7575757575769</v>
      </c>
      <c r="N14" s="1559">
        <v>5208.3333333333339</v>
      </c>
      <c r="O14" s="1559">
        <v>5208.3333333333339</v>
      </c>
      <c r="P14" s="1559">
        <v>3787.8787878787884</v>
      </c>
      <c r="Q14" s="1559">
        <v>3787.8787878787884</v>
      </c>
      <c r="R14" s="1559">
        <v>2604.166666666667</v>
      </c>
      <c r="S14" s="1559">
        <v>2604.166666666667</v>
      </c>
    </row>
    <row r="15" spans="2:19">
      <c r="D15" s="1560"/>
      <c r="E15" s="1560"/>
      <c r="F15" s="1560"/>
      <c r="G15" s="1560"/>
      <c r="H15" s="1560"/>
      <c r="I15" s="1560"/>
      <c r="J15" s="1560"/>
      <c r="K15" s="1560"/>
      <c r="L15" s="1560"/>
      <c r="M15" s="1560"/>
      <c r="N15" s="1560"/>
      <c r="O15" s="1560"/>
      <c r="P15" s="1560"/>
      <c r="Q15" s="1560"/>
      <c r="R15" s="1560"/>
      <c r="S15" s="1560"/>
    </row>
    <row r="16" spans="2:19">
      <c r="D16" s="1561">
        <v>2.8</v>
      </c>
      <c r="E16" s="1562">
        <v>2.8</v>
      </c>
      <c r="F16" s="1561">
        <v>4</v>
      </c>
      <c r="G16" s="1562">
        <v>4</v>
      </c>
      <c r="H16" s="1561">
        <v>5.6</v>
      </c>
      <c r="I16" s="1562">
        <v>5.6</v>
      </c>
      <c r="J16" s="1561">
        <v>8</v>
      </c>
      <c r="K16" s="1562">
        <v>8</v>
      </c>
      <c r="L16" s="1561">
        <v>11</v>
      </c>
      <c r="M16" s="1562">
        <v>11</v>
      </c>
      <c r="N16" s="1561">
        <v>16</v>
      </c>
      <c r="O16" s="1562">
        <v>16</v>
      </c>
      <c r="P16" s="1561">
        <v>22</v>
      </c>
      <c r="Q16" s="1562">
        <v>22</v>
      </c>
      <c r="R16" s="1561">
        <v>32</v>
      </c>
      <c r="S16" s="1562">
        <v>32</v>
      </c>
    </row>
    <row r="17" spans="2:19">
      <c r="B17" s="1563"/>
      <c r="C17" s="1564" t="s">
        <v>4439</v>
      </c>
      <c r="D17" s="144" t="s">
        <v>4440</v>
      </c>
      <c r="E17" s="143" t="s">
        <v>4441</v>
      </c>
      <c r="F17" s="144" t="s">
        <v>4440</v>
      </c>
      <c r="G17" s="143" t="s">
        <v>4441</v>
      </c>
      <c r="H17" s="144" t="s">
        <v>4440</v>
      </c>
      <c r="I17" s="143" t="s">
        <v>4441</v>
      </c>
      <c r="J17" s="144" t="s">
        <v>4440</v>
      </c>
      <c r="K17" s="143" t="s">
        <v>4441</v>
      </c>
      <c r="L17" s="144" t="s">
        <v>4440</v>
      </c>
      <c r="M17" s="143" t="s">
        <v>4441</v>
      </c>
      <c r="N17" s="144" t="s">
        <v>4440</v>
      </c>
      <c r="O17" s="143" t="s">
        <v>4441</v>
      </c>
      <c r="P17" s="144" t="s">
        <v>4440</v>
      </c>
      <c r="Q17" s="143" t="s">
        <v>4441</v>
      </c>
      <c r="R17" s="144" t="s">
        <v>4440</v>
      </c>
      <c r="S17" s="143" t="s">
        <v>4441</v>
      </c>
    </row>
    <row r="18" spans="2:19">
      <c r="B18" s="1565">
        <v>1000</v>
      </c>
      <c r="C18" s="136" t="s">
        <v>344</v>
      </c>
      <c r="D18" s="1566">
        <v>969.06736956353211</v>
      </c>
      <c r="E18" s="1567">
        <v>1032.9724816130899</v>
      </c>
      <c r="F18" s="1566">
        <v>956.38867635807196</v>
      </c>
      <c r="G18" s="1567">
        <v>1047.7787091366304</v>
      </c>
      <c r="H18" s="1566">
        <v>939.99097608662964</v>
      </c>
      <c r="I18" s="1567">
        <v>1068.1934712015041</v>
      </c>
      <c r="J18" s="1566">
        <v>916.42228739002928</v>
      </c>
      <c r="K18" s="1567">
        <v>1100.3521126760563</v>
      </c>
      <c r="L18" s="1566">
        <v>888.57295183934616</v>
      </c>
      <c r="M18" s="1567">
        <v>1143.3798307797852</v>
      </c>
      <c r="N18" s="1566">
        <v>845.73748308525035</v>
      </c>
      <c r="O18" s="1567">
        <v>1223.0919765166341</v>
      </c>
      <c r="P18" s="1566">
        <v>799.48832747041911</v>
      </c>
      <c r="Q18" s="1567">
        <v>1334.7570742124933</v>
      </c>
      <c r="R18" s="1566">
        <v>732.70808909730363</v>
      </c>
      <c r="S18" s="1567">
        <v>1574.3073047858941</v>
      </c>
    </row>
    <row r="19" spans="2:19">
      <c r="B19" s="1565">
        <v>1500</v>
      </c>
      <c r="C19" s="136" t="s">
        <v>344</v>
      </c>
      <c r="D19" s="1566">
        <v>1430.315050728507</v>
      </c>
      <c r="E19" s="1567">
        <v>1576.8228071650826</v>
      </c>
      <c r="F19" s="1566">
        <v>1402.3934181002244</v>
      </c>
      <c r="G19" s="1567">
        <v>1612.2098022355976</v>
      </c>
      <c r="H19" s="1566">
        <v>1366.8173203090828</v>
      </c>
      <c r="I19" s="1567">
        <v>1661.9393724516929</v>
      </c>
      <c r="J19" s="1566">
        <v>1316.7134831460673</v>
      </c>
      <c r="K19" s="1567">
        <v>1742.5650557620818</v>
      </c>
      <c r="L19" s="1566">
        <v>1259.022998153433</v>
      </c>
      <c r="M19" s="1567">
        <v>1855.0581251545882</v>
      </c>
      <c r="N19" s="1566">
        <v>1173.3416770963704</v>
      </c>
      <c r="O19" s="1567">
        <v>2078.7139689578712</v>
      </c>
      <c r="P19" s="1566">
        <v>1084.7555684119179</v>
      </c>
      <c r="Q19" s="1567">
        <v>2430.3305249513933</v>
      </c>
      <c r="R19" s="1566">
        <v>963.51490236382324</v>
      </c>
      <c r="S19" s="1567">
        <v>3384.4765342960286</v>
      </c>
    </row>
    <row r="20" spans="2:19">
      <c r="B20" s="1565">
        <v>2000</v>
      </c>
      <c r="C20" s="136" t="s">
        <v>344</v>
      </c>
      <c r="D20" s="1566">
        <v>1877.0177941286884</v>
      </c>
      <c r="E20" s="1567">
        <v>2140.2277202294326</v>
      </c>
      <c r="F20" s="1566">
        <v>1828.8222384784199</v>
      </c>
      <c r="G20" s="1567">
        <v>2206.5313327449248</v>
      </c>
      <c r="H20" s="1566">
        <v>1768.2840571509407</v>
      </c>
      <c r="I20" s="1567">
        <v>2301.6019149327935</v>
      </c>
      <c r="J20" s="1566">
        <v>1684.6361185983828</v>
      </c>
      <c r="K20" s="1567">
        <v>2460.6299212598424</v>
      </c>
      <c r="L20" s="1566">
        <v>1590.5837442341342</v>
      </c>
      <c r="M20" s="1567">
        <v>2693.2399676811201</v>
      </c>
      <c r="N20" s="1566">
        <v>1455.1804423748545</v>
      </c>
      <c r="O20" s="1567">
        <v>3196.9309462915598</v>
      </c>
      <c r="P20" s="1566">
        <v>1320.3063110641672</v>
      </c>
      <c r="Q20" s="1567">
        <v>4122.011541632316</v>
      </c>
      <c r="R20" s="1566">
        <v>1143.6413540713634</v>
      </c>
      <c r="S20" s="1567">
        <v>7961.783439490443</v>
      </c>
    </row>
    <row r="21" spans="2:19">
      <c r="B21" s="1565">
        <v>3000</v>
      </c>
      <c r="C21" s="136" t="s">
        <v>344</v>
      </c>
      <c r="D21" s="1566">
        <v>2729.4562923065723</v>
      </c>
      <c r="E21" s="1567">
        <v>3330.0772577923804</v>
      </c>
      <c r="F21" s="1566">
        <v>2627.8906797477225</v>
      </c>
      <c r="G21" s="1567">
        <v>3494.8741845293571</v>
      </c>
      <c r="H21" s="1566">
        <v>2503.6720523434369</v>
      </c>
      <c r="I21" s="1567">
        <v>3741.7681101576527</v>
      </c>
      <c r="J21" s="1566">
        <v>2337.9052369077308</v>
      </c>
      <c r="K21" s="1567">
        <v>4185.2678571428569</v>
      </c>
      <c r="L21" s="1566">
        <v>2159.2054124082342</v>
      </c>
      <c r="M21" s="1567">
        <v>4913.2001310186697</v>
      </c>
      <c r="N21" s="1566">
        <v>1915.2196118488255</v>
      </c>
      <c r="O21" s="1567">
        <v>6918.819188191881</v>
      </c>
      <c r="P21" s="1566">
        <v>1686.5302451090624</v>
      </c>
      <c r="Q21" s="1567">
        <v>13562.386980108491</v>
      </c>
      <c r="R21" s="1566">
        <v>1406.6016504126032</v>
      </c>
      <c r="S21" s="1567">
        <v>-22590.361445783154</v>
      </c>
    </row>
    <row r="22" spans="2:19">
      <c r="B22" s="1565">
        <v>4000</v>
      </c>
      <c r="C22" s="136" t="s">
        <v>344</v>
      </c>
      <c r="D22" s="1566">
        <v>3531.322833533442</v>
      </c>
      <c r="E22" s="1567">
        <v>4612.1206530762847</v>
      </c>
      <c r="F22" s="1566">
        <v>3362.4747814391394</v>
      </c>
      <c r="G22" s="1567">
        <v>4935.8341559723594</v>
      </c>
      <c r="H22" s="1566">
        <v>3160.9558730560125</v>
      </c>
      <c r="I22" s="1567">
        <v>5445.4367240252668</v>
      </c>
      <c r="J22" s="1566">
        <v>2900.2320185614849</v>
      </c>
      <c r="K22" s="1567">
        <v>6443.2989690721643</v>
      </c>
      <c r="L22" s="1566">
        <v>2629.1573550677012</v>
      </c>
      <c r="M22" s="1567">
        <v>8357.7099874634332</v>
      </c>
      <c r="N22" s="1566">
        <v>2274.7952684258416</v>
      </c>
      <c r="O22" s="1567">
        <v>16556.291390728471</v>
      </c>
      <c r="P22" s="1566">
        <v>1958.0967299784613</v>
      </c>
      <c r="Q22" s="1567">
        <v>-93457.94392523398</v>
      </c>
      <c r="R22" s="1566">
        <v>1589.319771137953</v>
      </c>
      <c r="S22" s="1567">
        <v>-7739.9380804953589</v>
      </c>
    </row>
    <row r="23" spans="2:19">
      <c r="B23" s="1565">
        <v>5000</v>
      </c>
      <c r="C23" s="136" t="s">
        <v>344</v>
      </c>
      <c r="D23" s="1566">
        <v>4286.9881336168464</v>
      </c>
      <c r="E23" s="1567">
        <v>5997.5050379042323</v>
      </c>
      <c r="F23" s="1566">
        <v>4040.0775694893341</v>
      </c>
      <c r="G23" s="1567">
        <v>6558.2371458551934</v>
      </c>
      <c r="H23" s="1566">
        <v>3751.9510145275544</v>
      </c>
      <c r="I23" s="1567">
        <v>7492.2081035722849</v>
      </c>
      <c r="J23" s="1566">
        <v>3389.3709327548804</v>
      </c>
      <c r="K23" s="1567">
        <v>9527.4390243902417</v>
      </c>
      <c r="L23" s="1566">
        <v>3024.0716100157256</v>
      </c>
      <c r="M23" s="1567">
        <v>14425.851125216383</v>
      </c>
      <c r="N23" s="1566">
        <v>2563.5767022149303</v>
      </c>
      <c r="O23" s="1567">
        <v>100806.45161290299</v>
      </c>
      <c r="P23" s="1566">
        <v>2167.504768510491</v>
      </c>
      <c r="Q23" s="1567">
        <v>-16297.262059973935</v>
      </c>
      <c r="R23" s="1566">
        <v>1723.6624379481523</v>
      </c>
      <c r="S23" s="1567">
        <v>-5550.6216696269994</v>
      </c>
    </row>
    <row r="24" spans="2:19">
      <c r="B24" s="1565">
        <v>6000</v>
      </c>
      <c r="C24" s="136" t="s">
        <v>344</v>
      </c>
      <c r="D24" s="1566">
        <v>5000.3333555570371</v>
      </c>
      <c r="E24" s="1567">
        <v>7499.2500749925002</v>
      </c>
      <c r="F24" s="1566">
        <v>4667.0815183571876</v>
      </c>
      <c r="G24" s="1567">
        <v>8398.6562150055979</v>
      </c>
      <c r="H24" s="1566">
        <v>4286.2041376157276</v>
      </c>
      <c r="I24" s="1567">
        <v>9997.3340442548651</v>
      </c>
      <c r="J24" s="1566">
        <v>3818.7372708757639</v>
      </c>
      <c r="K24" s="1567">
        <v>13992.537313432833</v>
      </c>
      <c r="L24" s="1566">
        <v>3360.5914640976816</v>
      </c>
      <c r="M24" s="1567">
        <v>27958.993476234838</v>
      </c>
      <c r="N24" s="1566">
        <v>2800.5974607916355</v>
      </c>
      <c r="O24" s="1567">
        <v>-42134.831460674199</v>
      </c>
      <c r="P24" s="1566">
        <v>2333.9038431616618</v>
      </c>
      <c r="Q24" s="1567">
        <v>-10511.562718990894</v>
      </c>
      <c r="R24" s="1566">
        <v>1826.595226497808</v>
      </c>
      <c r="S24" s="1567">
        <v>-4669.9875466998765</v>
      </c>
    </row>
    <row r="25" spans="2:19">
      <c r="B25" s="1565">
        <v>10000</v>
      </c>
      <c r="C25" s="136" t="s">
        <v>344</v>
      </c>
      <c r="D25" s="1566">
        <v>7494.4541039630676</v>
      </c>
      <c r="E25" s="1567">
        <v>15022.232904698954</v>
      </c>
      <c r="F25" s="1566">
        <v>6767.7314564158096</v>
      </c>
      <c r="G25" s="1567">
        <v>19142.419601837668</v>
      </c>
      <c r="H25" s="1566">
        <v>5992.9044011889928</v>
      </c>
      <c r="I25" s="1567">
        <v>30178.657653307579</v>
      </c>
      <c r="J25" s="1566">
        <v>5114.5662847790509</v>
      </c>
      <c r="K25" s="1567">
        <v>223214.28571428516</v>
      </c>
      <c r="L25" s="1566">
        <v>4322.6419987896606</v>
      </c>
      <c r="M25" s="1567">
        <v>-31908.104658583299</v>
      </c>
      <c r="N25" s="1566">
        <v>3435.9538207806486</v>
      </c>
      <c r="O25" s="1567">
        <v>-10984.182776801408</v>
      </c>
      <c r="P25" s="1566">
        <v>2757.251571633396</v>
      </c>
      <c r="Q25" s="1567">
        <v>-6147.0371281042544</v>
      </c>
      <c r="R25" s="1566">
        <v>2074.3445071357451</v>
      </c>
      <c r="S25" s="1567">
        <v>-3545.093590470789</v>
      </c>
    </row>
    <row r="26" spans="2:19">
      <c r="B26" s="1565">
        <v>20000</v>
      </c>
      <c r="C26" s="136" t="s">
        <v>344</v>
      </c>
      <c r="D26" s="1566">
        <v>11973.753532257293</v>
      </c>
      <c r="E26" s="1567">
        <v>60664.887163309875</v>
      </c>
      <c r="F26" s="1566">
        <v>10216.59174499387</v>
      </c>
      <c r="G26" s="1567">
        <v>471698.11320754589</v>
      </c>
      <c r="H26" s="1566">
        <v>8544.671542825894</v>
      </c>
      <c r="I26" s="1567">
        <v>-58713.010803194004</v>
      </c>
      <c r="J26" s="1566">
        <v>6860.5927552140502</v>
      </c>
      <c r="K26" s="1567">
        <v>-21853.146853146856</v>
      </c>
      <c r="L26" s="1566">
        <v>5504.4861562173173</v>
      </c>
      <c r="M26" s="1567">
        <v>-12244.398187829069</v>
      </c>
      <c r="N26" s="1566">
        <v>4140.4438555813185</v>
      </c>
      <c r="O26" s="1567">
        <v>-7066.1390616167337</v>
      </c>
      <c r="P26" s="1566">
        <v>3191.4214591178916</v>
      </c>
      <c r="Q26" s="1567">
        <v>-4687.3535202024941</v>
      </c>
      <c r="R26" s="1566">
        <v>2309.2554960280804</v>
      </c>
      <c r="S26" s="1567">
        <v>-3002.6423252462168</v>
      </c>
    </row>
    <row r="28" spans="2:19">
      <c r="I28" s="122" t="s">
        <v>4442</v>
      </c>
    </row>
    <row r="29" spans="2:19">
      <c r="I29" s="124" t="s">
        <v>4443</v>
      </c>
    </row>
    <row r="30" spans="2:19">
      <c r="I30" s="124" t="s">
        <v>4444</v>
      </c>
    </row>
    <row r="31" spans="2:19">
      <c r="I31" s="122" t="s">
        <v>4445</v>
      </c>
    </row>
    <row r="32" spans="2:19">
      <c r="I32" s="122" t="s">
        <v>4446</v>
      </c>
    </row>
    <row r="34" spans="3:3">
      <c r="C34" s="1568" t="s">
        <v>3364</v>
      </c>
    </row>
    <row r="36" spans="3:3">
      <c r="C36" s="124" t="s">
        <v>3365</v>
      </c>
    </row>
    <row r="38" spans="3:3">
      <c r="C38" s="124" t="s">
        <v>3366</v>
      </c>
    </row>
    <row r="39" spans="3:3">
      <c r="C39" s="124" t="s">
        <v>3367</v>
      </c>
    </row>
    <row r="41" spans="3:3">
      <c r="C41" s="124" t="s">
        <v>3368</v>
      </c>
    </row>
  </sheetData>
  <pageMargins left="0.78740157499999996" right="0.78740157499999996" top="0.984251969" bottom="0.984251969" header="0.4921259845" footer="0.4921259845"/>
  <pageSetup paperSize="9" orientation="portrait"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7:N26"/>
  <sheetViews>
    <sheetView workbookViewId="0">
      <selection activeCell="J26" sqref="J26"/>
    </sheetView>
  </sheetViews>
  <sheetFormatPr baseColWidth="10" defaultRowHeight="12.75"/>
  <cols>
    <col min="1" max="3" width="11.42578125" style="816"/>
    <col min="4" max="4" width="9.140625" style="816" customWidth="1"/>
    <col min="5" max="5" width="8.5703125" style="816" customWidth="1"/>
    <col min="6" max="6" width="11" style="816" customWidth="1"/>
    <col min="7" max="7" width="5.5703125" style="816" customWidth="1"/>
    <col min="8" max="8" width="10.28515625" style="816" customWidth="1"/>
    <col min="9" max="9" width="4.7109375" style="816" customWidth="1"/>
    <col min="10" max="10" width="9.42578125" style="816" customWidth="1"/>
    <col min="11" max="11" width="4.85546875" style="816" customWidth="1"/>
    <col min="12" max="12" width="12.5703125" style="816" customWidth="1"/>
    <col min="13" max="13" width="4.5703125" style="816" customWidth="1"/>
    <col min="14" max="259" width="11.42578125" style="816"/>
    <col min="260" max="260" width="9.140625" style="816" customWidth="1"/>
    <col min="261" max="261" width="8.5703125" style="816" customWidth="1"/>
    <col min="262" max="262" width="11" style="816" customWidth="1"/>
    <col min="263" max="263" width="5.5703125" style="816" customWidth="1"/>
    <col min="264" max="264" width="10.28515625" style="816" customWidth="1"/>
    <col min="265" max="265" width="4.7109375" style="816" customWidth="1"/>
    <col min="266" max="266" width="9.42578125" style="816" customWidth="1"/>
    <col min="267" max="267" width="4.85546875" style="816" customWidth="1"/>
    <col min="268" max="268" width="12.5703125" style="816" customWidth="1"/>
    <col min="269" max="269" width="4.5703125" style="816" customWidth="1"/>
    <col min="270" max="515" width="11.42578125" style="816"/>
    <col min="516" max="516" width="9.140625" style="816" customWidth="1"/>
    <col min="517" max="517" width="8.5703125" style="816" customWidth="1"/>
    <col min="518" max="518" width="11" style="816" customWidth="1"/>
    <col min="519" max="519" width="5.5703125" style="816" customWidth="1"/>
    <col min="520" max="520" width="10.28515625" style="816" customWidth="1"/>
    <col min="521" max="521" width="4.7109375" style="816" customWidth="1"/>
    <col min="522" max="522" width="9.42578125" style="816" customWidth="1"/>
    <col min="523" max="523" width="4.85546875" style="816" customWidth="1"/>
    <col min="524" max="524" width="12.5703125" style="816" customWidth="1"/>
    <col min="525" max="525" width="4.5703125" style="816" customWidth="1"/>
    <col min="526" max="771" width="11.42578125" style="816"/>
    <col min="772" max="772" width="9.140625" style="816" customWidth="1"/>
    <col min="773" max="773" width="8.5703125" style="816" customWidth="1"/>
    <col min="774" max="774" width="11" style="816" customWidth="1"/>
    <col min="775" max="775" width="5.5703125" style="816" customWidth="1"/>
    <col min="776" max="776" width="10.28515625" style="816" customWidth="1"/>
    <col min="777" max="777" width="4.7109375" style="816" customWidth="1"/>
    <col min="778" max="778" width="9.42578125" style="816" customWidth="1"/>
    <col min="779" max="779" width="4.85546875" style="816" customWidth="1"/>
    <col min="780" max="780" width="12.5703125" style="816" customWidth="1"/>
    <col min="781" max="781" width="4.5703125" style="816" customWidth="1"/>
    <col min="782" max="1027" width="11.42578125" style="816"/>
    <col min="1028" max="1028" width="9.140625" style="816" customWidth="1"/>
    <col min="1029" max="1029" width="8.5703125" style="816" customWidth="1"/>
    <col min="1030" max="1030" width="11" style="816" customWidth="1"/>
    <col min="1031" max="1031" width="5.5703125" style="816" customWidth="1"/>
    <col min="1032" max="1032" width="10.28515625" style="816" customWidth="1"/>
    <col min="1033" max="1033" width="4.7109375" style="816" customWidth="1"/>
    <col min="1034" max="1034" width="9.42578125" style="816" customWidth="1"/>
    <col min="1035" max="1035" width="4.85546875" style="816" customWidth="1"/>
    <col min="1036" max="1036" width="12.5703125" style="816" customWidth="1"/>
    <col min="1037" max="1037" width="4.5703125" style="816" customWidth="1"/>
    <col min="1038" max="1283" width="11.42578125" style="816"/>
    <col min="1284" max="1284" width="9.140625" style="816" customWidth="1"/>
    <col min="1285" max="1285" width="8.5703125" style="816" customWidth="1"/>
    <col min="1286" max="1286" width="11" style="816" customWidth="1"/>
    <col min="1287" max="1287" width="5.5703125" style="816" customWidth="1"/>
    <col min="1288" max="1288" width="10.28515625" style="816" customWidth="1"/>
    <col min="1289" max="1289" width="4.7109375" style="816" customWidth="1"/>
    <col min="1290" max="1290" width="9.42578125" style="816" customWidth="1"/>
    <col min="1291" max="1291" width="4.85546875" style="816" customWidth="1"/>
    <col min="1292" max="1292" width="12.5703125" style="816" customWidth="1"/>
    <col min="1293" max="1293" width="4.5703125" style="816" customWidth="1"/>
    <col min="1294" max="1539" width="11.42578125" style="816"/>
    <col min="1540" max="1540" width="9.140625" style="816" customWidth="1"/>
    <col min="1541" max="1541" width="8.5703125" style="816" customWidth="1"/>
    <col min="1542" max="1542" width="11" style="816" customWidth="1"/>
    <col min="1543" max="1543" width="5.5703125" style="816" customWidth="1"/>
    <col min="1544" max="1544" width="10.28515625" style="816" customWidth="1"/>
    <col min="1545" max="1545" width="4.7109375" style="816" customWidth="1"/>
    <col min="1546" max="1546" width="9.42578125" style="816" customWidth="1"/>
    <col min="1547" max="1547" width="4.85546875" style="816" customWidth="1"/>
    <col min="1548" max="1548" width="12.5703125" style="816" customWidth="1"/>
    <col min="1549" max="1549" width="4.5703125" style="816" customWidth="1"/>
    <col min="1550" max="1795" width="11.42578125" style="816"/>
    <col min="1796" max="1796" width="9.140625" style="816" customWidth="1"/>
    <col min="1797" max="1797" width="8.5703125" style="816" customWidth="1"/>
    <col min="1798" max="1798" width="11" style="816" customWidth="1"/>
    <col min="1799" max="1799" width="5.5703125" style="816" customWidth="1"/>
    <col min="1800" max="1800" width="10.28515625" style="816" customWidth="1"/>
    <col min="1801" max="1801" width="4.7109375" style="816" customWidth="1"/>
    <col min="1802" max="1802" width="9.42578125" style="816" customWidth="1"/>
    <col min="1803" max="1803" width="4.85546875" style="816" customWidth="1"/>
    <col min="1804" max="1804" width="12.5703125" style="816" customWidth="1"/>
    <col min="1805" max="1805" width="4.5703125" style="816" customWidth="1"/>
    <col min="1806" max="2051" width="11.42578125" style="816"/>
    <col min="2052" max="2052" width="9.140625" style="816" customWidth="1"/>
    <col min="2053" max="2053" width="8.5703125" style="816" customWidth="1"/>
    <col min="2054" max="2054" width="11" style="816" customWidth="1"/>
    <col min="2055" max="2055" width="5.5703125" style="816" customWidth="1"/>
    <col min="2056" max="2056" width="10.28515625" style="816" customWidth="1"/>
    <col min="2057" max="2057" width="4.7109375" style="816" customWidth="1"/>
    <col min="2058" max="2058" width="9.42578125" style="816" customWidth="1"/>
    <col min="2059" max="2059" width="4.85546875" style="816" customWidth="1"/>
    <col min="2060" max="2060" width="12.5703125" style="816" customWidth="1"/>
    <col min="2061" max="2061" width="4.5703125" style="816" customWidth="1"/>
    <col min="2062" max="2307" width="11.42578125" style="816"/>
    <col min="2308" max="2308" width="9.140625" style="816" customWidth="1"/>
    <col min="2309" max="2309" width="8.5703125" style="816" customWidth="1"/>
    <col min="2310" max="2310" width="11" style="816" customWidth="1"/>
    <col min="2311" max="2311" width="5.5703125" style="816" customWidth="1"/>
    <col min="2312" max="2312" width="10.28515625" style="816" customWidth="1"/>
    <col min="2313" max="2313" width="4.7109375" style="816" customWidth="1"/>
    <col min="2314" max="2314" width="9.42578125" style="816" customWidth="1"/>
    <col min="2315" max="2315" width="4.85546875" style="816" customWidth="1"/>
    <col min="2316" max="2316" width="12.5703125" style="816" customWidth="1"/>
    <col min="2317" max="2317" width="4.5703125" style="816" customWidth="1"/>
    <col min="2318" max="2563" width="11.42578125" style="816"/>
    <col min="2564" max="2564" width="9.140625" style="816" customWidth="1"/>
    <col min="2565" max="2565" width="8.5703125" style="816" customWidth="1"/>
    <col min="2566" max="2566" width="11" style="816" customWidth="1"/>
    <col min="2567" max="2567" width="5.5703125" style="816" customWidth="1"/>
    <col min="2568" max="2568" width="10.28515625" style="816" customWidth="1"/>
    <col min="2569" max="2569" width="4.7109375" style="816" customWidth="1"/>
    <col min="2570" max="2570" width="9.42578125" style="816" customWidth="1"/>
    <col min="2571" max="2571" width="4.85546875" style="816" customWidth="1"/>
    <col min="2572" max="2572" width="12.5703125" style="816" customWidth="1"/>
    <col min="2573" max="2573" width="4.5703125" style="816" customWidth="1"/>
    <col min="2574" max="2819" width="11.42578125" style="816"/>
    <col min="2820" max="2820" width="9.140625" style="816" customWidth="1"/>
    <col min="2821" max="2821" width="8.5703125" style="816" customWidth="1"/>
    <col min="2822" max="2822" width="11" style="816" customWidth="1"/>
    <col min="2823" max="2823" width="5.5703125" style="816" customWidth="1"/>
    <col min="2824" max="2824" width="10.28515625" style="816" customWidth="1"/>
    <col min="2825" max="2825" width="4.7109375" style="816" customWidth="1"/>
    <col min="2826" max="2826" width="9.42578125" style="816" customWidth="1"/>
    <col min="2827" max="2827" width="4.85546875" style="816" customWidth="1"/>
    <col min="2828" max="2828" width="12.5703125" style="816" customWidth="1"/>
    <col min="2829" max="2829" width="4.5703125" style="816" customWidth="1"/>
    <col min="2830" max="3075" width="11.42578125" style="816"/>
    <col min="3076" max="3076" width="9.140625" style="816" customWidth="1"/>
    <col min="3077" max="3077" width="8.5703125" style="816" customWidth="1"/>
    <col min="3078" max="3078" width="11" style="816" customWidth="1"/>
    <col min="3079" max="3079" width="5.5703125" style="816" customWidth="1"/>
    <col min="3080" max="3080" width="10.28515625" style="816" customWidth="1"/>
    <col min="3081" max="3081" width="4.7109375" style="816" customWidth="1"/>
    <col min="3082" max="3082" width="9.42578125" style="816" customWidth="1"/>
    <col min="3083" max="3083" width="4.85546875" style="816" customWidth="1"/>
    <col min="3084" max="3084" width="12.5703125" style="816" customWidth="1"/>
    <col min="3085" max="3085" width="4.5703125" style="816" customWidth="1"/>
    <col min="3086" max="3331" width="11.42578125" style="816"/>
    <col min="3332" max="3332" width="9.140625" style="816" customWidth="1"/>
    <col min="3333" max="3333" width="8.5703125" style="816" customWidth="1"/>
    <col min="3334" max="3334" width="11" style="816" customWidth="1"/>
    <col min="3335" max="3335" width="5.5703125" style="816" customWidth="1"/>
    <col min="3336" max="3336" width="10.28515625" style="816" customWidth="1"/>
    <col min="3337" max="3337" width="4.7109375" style="816" customWidth="1"/>
    <col min="3338" max="3338" width="9.42578125" style="816" customWidth="1"/>
    <col min="3339" max="3339" width="4.85546875" style="816" customWidth="1"/>
    <col min="3340" max="3340" width="12.5703125" style="816" customWidth="1"/>
    <col min="3341" max="3341" width="4.5703125" style="816" customWidth="1"/>
    <col min="3342" max="3587" width="11.42578125" style="816"/>
    <col min="3588" max="3588" width="9.140625" style="816" customWidth="1"/>
    <col min="3589" max="3589" width="8.5703125" style="816" customWidth="1"/>
    <col min="3590" max="3590" width="11" style="816" customWidth="1"/>
    <col min="3591" max="3591" width="5.5703125" style="816" customWidth="1"/>
    <col min="3592" max="3592" width="10.28515625" style="816" customWidth="1"/>
    <col min="3593" max="3593" width="4.7109375" style="816" customWidth="1"/>
    <col min="3594" max="3594" width="9.42578125" style="816" customWidth="1"/>
    <col min="3595" max="3595" width="4.85546875" style="816" customWidth="1"/>
    <col min="3596" max="3596" width="12.5703125" style="816" customWidth="1"/>
    <col min="3597" max="3597" width="4.5703125" style="816" customWidth="1"/>
    <col min="3598" max="3843" width="11.42578125" style="816"/>
    <col min="3844" max="3844" width="9.140625" style="816" customWidth="1"/>
    <col min="3845" max="3845" width="8.5703125" style="816" customWidth="1"/>
    <col min="3846" max="3846" width="11" style="816" customWidth="1"/>
    <col min="3847" max="3847" width="5.5703125" style="816" customWidth="1"/>
    <col min="3848" max="3848" width="10.28515625" style="816" customWidth="1"/>
    <col min="3849" max="3849" width="4.7109375" style="816" customWidth="1"/>
    <col min="3850" max="3850" width="9.42578125" style="816" customWidth="1"/>
    <col min="3851" max="3851" width="4.85546875" style="816" customWidth="1"/>
    <col min="3852" max="3852" width="12.5703125" style="816" customWidth="1"/>
    <col min="3853" max="3853" width="4.5703125" style="816" customWidth="1"/>
    <col min="3854" max="4099" width="11.42578125" style="816"/>
    <col min="4100" max="4100" width="9.140625" style="816" customWidth="1"/>
    <col min="4101" max="4101" width="8.5703125" style="816" customWidth="1"/>
    <col min="4102" max="4102" width="11" style="816" customWidth="1"/>
    <col min="4103" max="4103" width="5.5703125" style="816" customWidth="1"/>
    <col min="4104" max="4104" width="10.28515625" style="816" customWidth="1"/>
    <col min="4105" max="4105" width="4.7109375" style="816" customWidth="1"/>
    <col min="4106" max="4106" width="9.42578125" style="816" customWidth="1"/>
    <col min="4107" max="4107" width="4.85546875" style="816" customWidth="1"/>
    <col min="4108" max="4108" width="12.5703125" style="816" customWidth="1"/>
    <col min="4109" max="4109" width="4.5703125" style="816" customWidth="1"/>
    <col min="4110" max="4355" width="11.42578125" style="816"/>
    <col min="4356" max="4356" width="9.140625" style="816" customWidth="1"/>
    <col min="4357" max="4357" width="8.5703125" style="816" customWidth="1"/>
    <col min="4358" max="4358" width="11" style="816" customWidth="1"/>
    <col min="4359" max="4359" width="5.5703125" style="816" customWidth="1"/>
    <col min="4360" max="4360" width="10.28515625" style="816" customWidth="1"/>
    <col min="4361" max="4361" width="4.7109375" style="816" customWidth="1"/>
    <col min="4362" max="4362" width="9.42578125" style="816" customWidth="1"/>
    <col min="4363" max="4363" width="4.85546875" style="816" customWidth="1"/>
    <col min="4364" max="4364" width="12.5703125" style="816" customWidth="1"/>
    <col min="4365" max="4365" width="4.5703125" style="816" customWidth="1"/>
    <col min="4366" max="4611" width="11.42578125" style="816"/>
    <col min="4612" max="4612" width="9.140625" style="816" customWidth="1"/>
    <col min="4613" max="4613" width="8.5703125" style="816" customWidth="1"/>
    <col min="4614" max="4614" width="11" style="816" customWidth="1"/>
    <col min="4615" max="4615" width="5.5703125" style="816" customWidth="1"/>
    <col min="4616" max="4616" width="10.28515625" style="816" customWidth="1"/>
    <col min="4617" max="4617" width="4.7109375" style="816" customWidth="1"/>
    <col min="4618" max="4618" width="9.42578125" style="816" customWidth="1"/>
    <col min="4619" max="4619" width="4.85546875" style="816" customWidth="1"/>
    <col min="4620" max="4620" width="12.5703125" style="816" customWidth="1"/>
    <col min="4621" max="4621" width="4.5703125" style="816" customWidth="1"/>
    <col min="4622" max="4867" width="11.42578125" style="816"/>
    <col min="4868" max="4868" width="9.140625" style="816" customWidth="1"/>
    <col min="4869" max="4869" width="8.5703125" style="816" customWidth="1"/>
    <col min="4870" max="4870" width="11" style="816" customWidth="1"/>
    <col min="4871" max="4871" width="5.5703125" style="816" customWidth="1"/>
    <col min="4872" max="4872" width="10.28515625" style="816" customWidth="1"/>
    <col min="4873" max="4873" width="4.7109375" style="816" customWidth="1"/>
    <col min="4874" max="4874" width="9.42578125" style="816" customWidth="1"/>
    <col min="4875" max="4875" width="4.85546875" style="816" customWidth="1"/>
    <col min="4876" max="4876" width="12.5703125" style="816" customWidth="1"/>
    <col min="4877" max="4877" width="4.5703125" style="816" customWidth="1"/>
    <col min="4878" max="5123" width="11.42578125" style="816"/>
    <col min="5124" max="5124" width="9.140625" style="816" customWidth="1"/>
    <col min="5125" max="5125" width="8.5703125" style="816" customWidth="1"/>
    <col min="5126" max="5126" width="11" style="816" customWidth="1"/>
    <col min="5127" max="5127" width="5.5703125" style="816" customWidth="1"/>
    <col min="5128" max="5128" width="10.28515625" style="816" customWidth="1"/>
    <col min="5129" max="5129" width="4.7109375" style="816" customWidth="1"/>
    <col min="5130" max="5130" width="9.42578125" style="816" customWidth="1"/>
    <col min="5131" max="5131" width="4.85546875" style="816" customWidth="1"/>
    <col min="5132" max="5132" width="12.5703125" style="816" customWidth="1"/>
    <col min="5133" max="5133" width="4.5703125" style="816" customWidth="1"/>
    <col min="5134" max="5379" width="11.42578125" style="816"/>
    <col min="5380" max="5380" width="9.140625" style="816" customWidth="1"/>
    <col min="5381" max="5381" width="8.5703125" style="816" customWidth="1"/>
    <col min="5382" max="5382" width="11" style="816" customWidth="1"/>
    <col min="5383" max="5383" width="5.5703125" style="816" customWidth="1"/>
    <col min="5384" max="5384" width="10.28515625" style="816" customWidth="1"/>
    <col min="5385" max="5385" width="4.7109375" style="816" customWidth="1"/>
    <col min="5386" max="5386" width="9.42578125" style="816" customWidth="1"/>
    <col min="5387" max="5387" width="4.85546875" style="816" customWidth="1"/>
    <col min="5388" max="5388" width="12.5703125" style="816" customWidth="1"/>
    <col min="5389" max="5389" width="4.5703125" style="816" customWidth="1"/>
    <col min="5390" max="5635" width="11.42578125" style="816"/>
    <col min="5636" max="5636" width="9.140625" style="816" customWidth="1"/>
    <col min="5637" max="5637" width="8.5703125" style="816" customWidth="1"/>
    <col min="5638" max="5638" width="11" style="816" customWidth="1"/>
    <col min="5639" max="5639" width="5.5703125" style="816" customWidth="1"/>
    <col min="5640" max="5640" width="10.28515625" style="816" customWidth="1"/>
    <col min="5641" max="5641" width="4.7109375" style="816" customWidth="1"/>
    <col min="5642" max="5642" width="9.42578125" style="816" customWidth="1"/>
    <col min="5643" max="5643" width="4.85546875" style="816" customWidth="1"/>
    <col min="5644" max="5644" width="12.5703125" style="816" customWidth="1"/>
    <col min="5645" max="5645" width="4.5703125" style="816" customWidth="1"/>
    <col min="5646" max="5891" width="11.42578125" style="816"/>
    <col min="5892" max="5892" width="9.140625" style="816" customWidth="1"/>
    <col min="5893" max="5893" width="8.5703125" style="816" customWidth="1"/>
    <col min="5894" max="5894" width="11" style="816" customWidth="1"/>
    <col min="5895" max="5895" width="5.5703125" style="816" customWidth="1"/>
    <col min="5896" max="5896" width="10.28515625" style="816" customWidth="1"/>
    <col min="5897" max="5897" width="4.7109375" style="816" customWidth="1"/>
    <col min="5898" max="5898" width="9.42578125" style="816" customWidth="1"/>
    <col min="5899" max="5899" width="4.85546875" style="816" customWidth="1"/>
    <col min="5900" max="5900" width="12.5703125" style="816" customWidth="1"/>
    <col min="5901" max="5901" width="4.5703125" style="816" customWidth="1"/>
    <col min="5902" max="6147" width="11.42578125" style="816"/>
    <col min="6148" max="6148" width="9.140625" style="816" customWidth="1"/>
    <col min="6149" max="6149" width="8.5703125" style="816" customWidth="1"/>
    <col min="6150" max="6150" width="11" style="816" customWidth="1"/>
    <col min="6151" max="6151" width="5.5703125" style="816" customWidth="1"/>
    <col min="6152" max="6152" width="10.28515625" style="816" customWidth="1"/>
    <col min="6153" max="6153" width="4.7109375" style="816" customWidth="1"/>
    <col min="6154" max="6154" width="9.42578125" style="816" customWidth="1"/>
    <col min="6155" max="6155" width="4.85546875" style="816" customWidth="1"/>
    <col min="6156" max="6156" width="12.5703125" style="816" customWidth="1"/>
    <col min="6157" max="6157" width="4.5703125" style="816" customWidth="1"/>
    <col min="6158" max="6403" width="11.42578125" style="816"/>
    <col min="6404" max="6404" width="9.140625" style="816" customWidth="1"/>
    <col min="6405" max="6405" width="8.5703125" style="816" customWidth="1"/>
    <col min="6406" max="6406" width="11" style="816" customWidth="1"/>
    <col min="6407" max="6407" width="5.5703125" style="816" customWidth="1"/>
    <col min="6408" max="6408" width="10.28515625" style="816" customWidth="1"/>
    <col min="6409" max="6409" width="4.7109375" style="816" customWidth="1"/>
    <col min="6410" max="6410" width="9.42578125" style="816" customWidth="1"/>
    <col min="6411" max="6411" width="4.85546875" style="816" customWidth="1"/>
    <col min="6412" max="6412" width="12.5703125" style="816" customWidth="1"/>
    <col min="6413" max="6413" width="4.5703125" style="816" customWidth="1"/>
    <col min="6414" max="6659" width="11.42578125" style="816"/>
    <col min="6660" max="6660" width="9.140625" style="816" customWidth="1"/>
    <col min="6661" max="6661" width="8.5703125" style="816" customWidth="1"/>
    <col min="6662" max="6662" width="11" style="816" customWidth="1"/>
    <col min="6663" max="6663" width="5.5703125" style="816" customWidth="1"/>
    <col min="6664" max="6664" width="10.28515625" style="816" customWidth="1"/>
    <col min="6665" max="6665" width="4.7109375" style="816" customWidth="1"/>
    <col min="6666" max="6666" width="9.42578125" style="816" customWidth="1"/>
    <col min="6667" max="6667" width="4.85546875" style="816" customWidth="1"/>
    <col min="6668" max="6668" width="12.5703125" style="816" customWidth="1"/>
    <col min="6669" max="6669" width="4.5703125" style="816" customWidth="1"/>
    <col min="6670" max="6915" width="11.42578125" style="816"/>
    <col min="6916" max="6916" width="9.140625" style="816" customWidth="1"/>
    <col min="6917" max="6917" width="8.5703125" style="816" customWidth="1"/>
    <col min="6918" max="6918" width="11" style="816" customWidth="1"/>
    <col min="6919" max="6919" width="5.5703125" style="816" customWidth="1"/>
    <col min="6920" max="6920" width="10.28515625" style="816" customWidth="1"/>
    <col min="6921" max="6921" width="4.7109375" style="816" customWidth="1"/>
    <col min="6922" max="6922" width="9.42578125" style="816" customWidth="1"/>
    <col min="6923" max="6923" width="4.85546875" style="816" customWidth="1"/>
    <col min="6924" max="6924" width="12.5703125" style="816" customWidth="1"/>
    <col min="6925" max="6925" width="4.5703125" style="816" customWidth="1"/>
    <col min="6926" max="7171" width="11.42578125" style="816"/>
    <col min="7172" max="7172" width="9.140625" style="816" customWidth="1"/>
    <col min="7173" max="7173" width="8.5703125" style="816" customWidth="1"/>
    <col min="7174" max="7174" width="11" style="816" customWidth="1"/>
    <col min="7175" max="7175" width="5.5703125" style="816" customWidth="1"/>
    <col min="7176" max="7176" width="10.28515625" style="816" customWidth="1"/>
    <col min="7177" max="7177" width="4.7109375" style="816" customWidth="1"/>
    <col min="7178" max="7178" width="9.42578125" style="816" customWidth="1"/>
    <col min="7179" max="7179" width="4.85546875" style="816" customWidth="1"/>
    <col min="7180" max="7180" width="12.5703125" style="816" customWidth="1"/>
    <col min="7181" max="7181" width="4.5703125" style="816" customWidth="1"/>
    <col min="7182" max="7427" width="11.42578125" style="816"/>
    <col min="7428" max="7428" width="9.140625" style="816" customWidth="1"/>
    <col min="7429" max="7429" width="8.5703125" style="816" customWidth="1"/>
    <col min="7430" max="7430" width="11" style="816" customWidth="1"/>
    <col min="7431" max="7431" width="5.5703125" style="816" customWidth="1"/>
    <col min="7432" max="7432" width="10.28515625" style="816" customWidth="1"/>
    <col min="7433" max="7433" width="4.7109375" style="816" customWidth="1"/>
    <col min="7434" max="7434" width="9.42578125" style="816" customWidth="1"/>
    <col min="7435" max="7435" width="4.85546875" style="816" customWidth="1"/>
    <col min="7436" max="7436" width="12.5703125" style="816" customWidth="1"/>
    <col min="7437" max="7437" width="4.5703125" style="816" customWidth="1"/>
    <col min="7438" max="7683" width="11.42578125" style="816"/>
    <col min="7684" max="7684" width="9.140625" style="816" customWidth="1"/>
    <col min="7685" max="7685" width="8.5703125" style="816" customWidth="1"/>
    <col min="7686" max="7686" width="11" style="816" customWidth="1"/>
    <col min="7687" max="7687" width="5.5703125" style="816" customWidth="1"/>
    <col min="7688" max="7688" width="10.28515625" style="816" customWidth="1"/>
    <col min="7689" max="7689" width="4.7109375" style="816" customWidth="1"/>
    <col min="7690" max="7690" width="9.42578125" style="816" customWidth="1"/>
    <col min="7691" max="7691" width="4.85546875" style="816" customWidth="1"/>
    <col min="7692" max="7692" width="12.5703125" style="816" customWidth="1"/>
    <col min="7693" max="7693" width="4.5703125" style="816" customWidth="1"/>
    <col min="7694" max="7939" width="11.42578125" style="816"/>
    <col min="7940" max="7940" width="9.140625" style="816" customWidth="1"/>
    <col min="7941" max="7941" width="8.5703125" style="816" customWidth="1"/>
    <col min="7942" max="7942" width="11" style="816" customWidth="1"/>
    <col min="7943" max="7943" width="5.5703125" style="816" customWidth="1"/>
    <col min="7944" max="7944" width="10.28515625" style="816" customWidth="1"/>
    <col min="7945" max="7945" width="4.7109375" style="816" customWidth="1"/>
    <col min="7946" max="7946" width="9.42578125" style="816" customWidth="1"/>
    <col min="7947" max="7947" width="4.85546875" style="816" customWidth="1"/>
    <col min="7948" max="7948" width="12.5703125" style="816" customWidth="1"/>
    <col min="7949" max="7949" width="4.5703125" style="816" customWidth="1"/>
    <col min="7950" max="8195" width="11.42578125" style="816"/>
    <col min="8196" max="8196" width="9.140625" style="816" customWidth="1"/>
    <col min="8197" max="8197" width="8.5703125" style="816" customWidth="1"/>
    <col min="8198" max="8198" width="11" style="816" customWidth="1"/>
    <col min="8199" max="8199" width="5.5703125" style="816" customWidth="1"/>
    <col min="8200" max="8200" width="10.28515625" style="816" customWidth="1"/>
    <col min="8201" max="8201" width="4.7109375" style="816" customWidth="1"/>
    <col min="8202" max="8202" width="9.42578125" style="816" customWidth="1"/>
    <col min="8203" max="8203" width="4.85546875" style="816" customWidth="1"/>
    <col min="8204" max="8204" width="12.5703125" style="816" customWidth="1"/>
    <col min="8205" max="8205" width="4.5703125" style="816" customWidth="1"/>
    <col min="8206" max="8451" width="11.42578125" style="816"/>
    <col min="8452" max="8452" width="9.140625" style="816" customWidth="1"/>
    <col min="8453" max="8453" width="8.5703125" style="816" customWidth="1"/>
    <col min="8454" max="8454" width="11" style="816" customWidth="1"/>
    <col min="8455" max="8455" width="5.5703125" style="816" customWidth="1"/>
    <col min="8456" max="8456" width="10.28515625" style="816" customWidth="1"/>
    <col min="8457" max="8457" width="4.7109375" style="816" customWidth="1"/>
    <col min="8458" max="8458" width="9.42578125" style="816" customWidth="1"/>
    <col min="8459" max="8459" width="4.85546875" style="816" customWidth="1"/>
    <col min="8460" max="8460" width="12.5703125" style="816" customWidth="1"/>
    <col min="8461" max="8461" width="4.5703125" style="816" customWidth="1"/>
    <col min="8462" max="8707" width="11.42578125" style="816"/>
    <col min="8708" max="8708" width="9.140625" style="816" customWidth="1"/>
    <col min="8709" max="8709" width="8.5703125" style="816" customWidth="1"/>
    <col min="8710" max="8710" width="11" style="816" customWidth="1"/>
    <col min="8711" max="8711" width="5.5703125" style="816" customWidth="1"/>
    <col min="8712" max="8712" width="10.28515625" style="816" customWidth="1"/>
    <col min="8713" max="8713" width="4.7109375" style="816" customWidth="1"/>
    <col min="8714" max="8714" width="9.42578125" style="816" customWidth="1"/>
    <col min="8715" max="8715" width="4.85546875" style="816" customWidth="1"/>
    <col min="8716" max="8716" width="12.5703125" style="816" customWidth="1"/>
    <col min="8717" max="8717" width="4.5703125" style="816" customWidth="1"/>
    <col min="8718" max="8963" width="11.42578125" style="816"/>
    <col min="8964" max="8964" width="9.140625" style="816" customWidth="1"/>
    <col min="8965" max="8965" width="8.5703125" style="816" customWidth="1"/>
    <col min="8966" max="8966" width="11" style="816" customWidth="1"/>
    <col min="8967" max="8967" width="5.5703125" style="816" customWidth="1"/>
    <col min="8968" max="8968" width="10.28515625" style="816" customWidth="1"/>
    <col min="8969" max="8969" width="4.7109375" style="816" customWidth="1"/>
    <col min="8970" max="8970" width="9.42578125" style="816" customWidth="1"/>
    <col min="8971" max="8971" width="4.85546875" style="816" customWidth="1"/>
    <col min="8972" max="8972" width="12.5703125" style="816" customWidth="1"/>
    <col min="8973" max="8973" width="4.5703125" style="816" customWidth="1"/>
    <col min="8974" max="9219" width="11.42578125" style="816"/>
    <col min="9220" max="9220" width="9.140625" style="816" customWidth="1"/>
    <col min="9221" max="9221" width="8.5703125" style="816" customWidth="1"/>
    <col min="9222" max="9222" width="11" style="816" customWidth="1"/>
    <col min="9223" max="9223" width="5.5703125" style="816" customWidth="1"/>
    <col min="9224" max="9224" width="10.28515625" style="816" customWidth="1"/>
    <col min="9225" max="9225" width="4.7109375" style="816" customWidth="1"/>
    <col min="9226" max="9226" width="9.42578125" style="816" customWidth="1"/>
    <col min="9227" max="9227" width="4.85546875" style="816" customWidth="1"/>
    <col min="9228" max="9228" width="12.5703125" style="816" customWidth="1"/>
    <col min="9229" max="9229" width="4.5703125" style="816" customWidth="1"/>
    <col min="9230" max="9475" width="11.42578125" style="816"/>
    <col min="9476" max="9476" width="9.140625" style="816" customWidth="1"/>
    <col min="9477" max="9477" width="8.5703125" style="816" customWidth="1"/>
    <col min="9478" max="9478" width="11" style="816" customWidth="1"/>
    <col min="9479" max="9479" width="5.5703125" style="816" customWidth="1"/>
    <col min="9480" max="9480" width="10.28515625" style="816" customWidth="1"/>
    <col min="9481" max="9481" width="4.7109375" style="816" customWidth="1"/>
    <col min="9482" max="9482" width="9.42578125" style="816" customWidth="1"/>
    <col min="9483" max="9483" width="4.85546875" style="816" customWidth="1"/>
    <col min="9484" max="9484" width="12.5703125" style="816" customWidth="1"/>
    <col min="9485" max="9485" width="4.5703125" style="816" customWidth="1"/>
    <col min="9486" max="9731" width="11.42578125" style="816"/>
    <col min="9732" max="9732" width="9.140625" style="816" customWidth="1"/>
    <col min="9733" max="9733" width="8.5703125" style="816" customWidth="1"/>
    <col min="9734" max="9734" width="11" style="816" customWidth="1"/>
    <col min="9735" max="9735" width="5.5703125" style="816" customWidth="1"/>
    <col min="9736" max="9736" width="10.28515625" style="816" customWidth="1"/>
    <col min="9737" max="9737" width="4.7109375" style="816" customWidth="1"/>
    <col min="9738" max="9738" width="9.42578125" style="816" customWidth="1"/>
    <col min="9739" max="9739" width="4.85546875" style="816" customWidth="1"/>
    <col min="9740" max="9740" width="12.5703125" style="816" customWidth="1"/>
    <col min="9741" max="9741" width="4.5703125" style="816" customWidth="1"/>
    <col min="9742" max="9987" width="11.42578125" style="816"/>
    <col min="9988" max="9988" width="9.140625" style="816" customWidth="1"/>
    <col min="9989" max="9989" width="8.5703125" style="816" customWidth="1"/>
    <col min="9990" max="9990" width="11" style="816" customWidth="1"/>
    <col min="9991" max="9991" width="5.5703125" style="816" customWidth="1"/>
    <col min="9992" max="9992" width="10.28515625" style="816" customWidth="1"/>
    <col min="9993" max="9993" width="4.7109375" style="816" customWidth="1"/>
    <col min="9994" max="9994" width="9.42578125" style="816" customWidth="1"/>
    <col min="9995" max="9995" width="4.85546875" style="816" customWidth="1"/>
    <col min="9996" max="9996" width="12.5703125" style="816" customWidth="1"/>
    <col min="9997" max="9997" width="4.5703125" style="816" customWidth="1"/>
    <col min="9998" max="10243" width="11.42578125" style="816"/>
    <col min="10244" max="10244" width="9.140625" style="816" customWidth="1"/>
    <col min="10245" max="10245" width="8.5703125" style="816" customWidth="1"/>
    <col min="10246" max="10246" width="11" style="816" customWidth="1"/>
    <col min="10247" max="10247" width="5.5703125" style="816" customWidth="1"/>
    <col min="10248" max="10248" width="10.28515625" style="816" customWidth="1"/>
    <col min="10249" max="10249" width="4.7109375" style="816" customWidth="1"/>
    <col min="10250" max="10250" width="9.42578125" style="816" customWidth="1"/>
    <col min="10251" max="10251" width="4.85546875" style="816" customWidth="1"/>
    <col min="10252" max="10252" width="12.5703125" style="816" customWidth="1"/>
    <col min="10253" max="10253" width="4.5703125" style="816" customWidth="1"/>
    <col min="10254" max="10499" width="11.42578125" style="816"/>
    <col min="10500" max="10500" width="9.140625" style="816" customWidth="1"/>
    <col min="10501" max="10501" width="8.5703125" style="816" customWidth="1"/>
    <col min="10502" max="10502" width="11" style="816" customWidth="1"/>
    <col min="10503" max="10503" width="5.5703125" style="816" customWidth="1"/>
    <col min="10504" max="10504" width="10.28515625" style="816" customWidth="1"/>
    <col min="10505" max="10505" width="4.7109375" style="816" customWidth="1"/>
    <col min="10506" max="10506" width="9.42578125" style="816" customWidth="1"/>
    <col min="10507" max="10507" width="4.85546875" style="816" customWidth="1"/>
    <col min="10508" max="10508" width="12.5703125" style="816" customWidth="1"/>
    <col min="10509" max="10509" width="4.5703125" style="816" customWidth="1"/>
    <col min="10510" max="10755" width="11.42578125" style="816"/>
    <col min="10756" max="10756" width="9.140625" style="816" customWidth="1"/>
    <col min="10757" max="10757" width="8.5703125" style="816" customWidth="1"/>
    <col min="10758" max="10758" width="11" style="816" customWidth="1"/>
    <col min="10759" max="10759" width="5.5703125" style="816" customWidth="1"/>
    <col min="10760" max="10760" width="10.28515625" style="816" customWidth="1"/>
    <col min="10761" max="10761" width="4.7109375" style="816" customWidth="1"/>
    <col min="10762" max="10762" width="9.42578125" style="816" customWidth="1"/>
    <col min="10763" max="10763" width="4.85546875" style="816" customWidth="1"/>
    <col min="10764" max="10764" width="12.5703125" style="816" customWidth="1"/>
    <col min="10765" max="10765" width="4.5703125" style="816" customWidth="1"/>
    <col min="10766" max="11011" width="11.42578125" style="816"/>
    <col min="11012" max="11012" width="9.140625" style="816" customWidth="1"/>
    <col min="11013" max="11013" width="8.5703125" style="816" customWidth="1"/>
    <col min="11014" max="11014" width="11" style="816" customWidth="1"/>
    <col min="11015" max="11015" width="5.5703125" style="816" customWidth="1"/>
    <col min="11016" max="11016" width="10.28515625" style="816" customWidth="1"/>
    <col min="11017" max="11017" width="4.7109375" style="816" customWidth="1"/>
    <col min="11018" max="11018" width="9.42578125" style="816" customWidth="1"/>
    <col min="11019" max="11019" width="4.85546875" style="816" customWidth="1"/>
    <col min="11020" max="11020" width="12.5703125" style="816" customWidth="1"/>
    <col min="11021" max="11021" width="4.5703125" style="816" customWidth="1"/>
    <col min="11022" max="11267" width="11.42578125" style="816"/>
    <col min="11268" max="11268" width="9.140625" style="816" customWidth="1"/>
    <col min="11269" max="11269" width="8.5703125" style="816" customWidth="1"/>
    <col min="11270" max="11270" width="11" style="816" customWidth="1"/>
    <col min="11271" max="11271" width="5.5703125" style="816" customWidth="1"/>
    <col min="11272" max="11272" width="10.28515625" style="816" customWidth="1"/>
    <col min="11273" max="11273" width="4.7109375" style="816" customWidth="1"/>
    <col min="11274" max="11274" width="9.42578125" style="816" customWidth="1"/>
    <col min="11275" max="11275" width="4.85546875" style="816" customWidth="1"/>
    <col min="11276" max="11276" width="12.5703125" style="816" customWidth="1"/>
    <col min="11277" max="11277" width="4.5703125" style="816" customWidth="1"/>
    <col min="11278" max="11523" width="11.42578125" style="816"/>
    <col min="11524" max="11524" width="9.140625" style="816" customWidth="1"/>
    <col min="11525" max="11525" width="8.5703125" style="816" customWidth="1"/>
    <col min="11526" max="11526" width="11" style="816" customWidth="1"/>
    <col min="11527" max="11527" width="5.5703125" style="816" customWidth="1"/>
    <col min="11528" max="11528" width="10.28515625" style="816" customWidth="1"/>
    <col min="11529" max="11529" width="4.7109375" style="816" customWidth="1"/>
    <col min="11530" max="11530" width="9.42578125" style="816" customWidth="1"/>
    <col min="11531" max="11531" width="4.85546875" style="816" customWidth="1"/>
    <col min="11532" max="11532" width="12.5703125" style="816" customWidth="1"/>
    <col min="11533" max="11533" width="4.5703125" style="816" customWidth="1"/>
    <col min="11534" max="11779" width="11.42578125" style="816"/>
    <col min="11780" max="11780" width="9.140625" style="816" customWidth="1"/>
    <col min="11781" max="11781" width="8.5703125" style="816" customWidth="1"/>
    <col min="11782" max="11782" width="11" style="816" customWidth="1"/>
    <col min="11783" max="11783" width="5.5703125" style="816" customWidth="1"/>
    <col min="11784" max="11784" width="10.28515625" style="816" customWidth="1"/>
    <col min="11785" max="11785" width="4.7109375" style="816" customWidth="1"/>
    <col min="11786" max="11786" width="9.42578125" style="816" customWidth="1"/>
    <col min="11787" max="11787" width="4.85546875" style="816" customWidth="1"/>
    <col min="11788" max="11788" width="12.5703125" style="816" customWidth="1"/>
    <col min="11789" max="11789" width="4.5703125" style="816" customWidth="1"/>
    <col min="11790" max="12035" width="11.42578125" style="816"/>
    <col min="12036" max="12036" width="9.140625" style="816" customWidth="1"/>
    <col min="12037" max="12037" width="8.5703125" style="816" customWidth="1"/>
    <col min="12038" max="12038" width="11" style="816" customWidth="1"/>
    <col min="12039" max="12039" width="5.5703125" style="816" customWidth="1"/>
    <col min="12040" max="12040" width="10.28515625" style="816" customWidth="1"/>
    <col min="12041" max="12041" width="4.7109375" style="816" customWidth="1"/>
    <col min="12042" max="12042" width="9.42578125" style="816" customWidth="1"/>
    <col min="12043" max="12043" width="4.85546875" style="816" customWidth="1"/>
    <col min="12044" max="12044" width="12.5703125" style="816" customWidth="1"/>
    <col min="12045" max="12045" width="4.5703125" style="816" customWidth="1"/>
    <col min="12046" max="12291" width="11.42578125" style="816"/>
    <col min="12292" max="12292" width="9.140625" style="816" customWidth="1"/>
    <col min="12293" max="12293" width="8.5703125" style="816" customWidth="1"/>
    <col min="12294" max="12294" width="11" style="816" customWidth="1"/>
    <col min="12295" max="12295" width="5.5703125" style="816" customWidth="1"/>
    <col min="12296" max="12296" width="10.28515625" style="816" customWidth="1"/>
    <col min="12297" max="12297" width="4.7109375" style="816" customWidth="1"/>
    <col min="12298" max="12298" width="9.42578125" style="816" customWidth="1"/>
    <col min="12299" max="12299" width="4.85546875" style="816" customWidth="1"/>
    <col min="12300" max="12300" width="12.5703125" style="816" customWidth="1"/>
    <col min="12301" max="12301" width="4.5703125" style="816" customWidth="1"/>
    <col min="12302" max="12547" width="11.42578125" style="816"/>
    <col min="12548" max="12548" width="9.140625" style="816" customWidth="1"/>
    <col min="12549" max="12549" width="8.5703125" style="816" customWidth="1"/>
    <col min="12550" max="12550" width="11" style="816" customWidth="1"/>
    <col min="12551" max="12551" width="5.5703125" style="816" customWidth="1"/>
    <col min="12552" max="12552" width="10.28515625" style="816" customWidth="1"/>
    <col min="12553" max="12553" width="4.7109375" style="816" customWidth="1"/>
    <col min="12554" max="12554" width="9.42578125" style="816" customWidth="1"/>
    <col min="12555" max="12555" width="4.85546875" style="816" customWidth="1"/>
    <col min="12556" max="12556" width="12.5703125" style="816" customWidth="1"/>
    <col min="12557" max="12557" width="4.5703125" style="816" customWidth="1"/>
    <col min="12558" max="12803" width="11.42578125" style="816"/>
    <col min="12804" max="12804" width="9.140625" style="816" customWidth="1"/>
    <col min="12805" max="12805" width="8.5703125" style="816" customWidth="1"/>
    <col min="12806" max="12806" width="11" style="816" customWidth="1"/>
    <col min="12807" max="12807" width="5.5703125" style="816" customWidth="1"/>
    <col min="12808" max="12808" width="10.28515625" style="816" customWidth="1"/>
    <col min="12809" max="12809" width="4.7109375" style="816" customWidth="1"/>
    <col min="12810" max="12810" width="9.42578125" style="816" customWidth="1"/>
    <col min="12811" max="12811" width="4.85546875" style="816" customWidth="1"/>
    <col min="12812" max="12812" width="12.5703125" style="816" customWidth="1"/>
    <col min="12813" max="12813" width="4.5703125" style="816" customWidth="1"/>
    <col min="12814" max="13059" width="11.42578125" style="816"/>
    <col min="13060" max="13060" width="9.140625" style="816" customWidth="1"/>
    <col min="13061" max="13061" width="8.5703125" style="816" customWidth="1"/>
    <col min="13062" max="13062" width="11" style="816" customWidth="1"/>
    <col min="13063" max="13063" width="5.5703125" style="816" customWidth="1"/>
    <col min="13064" max="13064" width="10.28515625" style="816" customWidth="1"/>
    <col min="13065" max="13065" width="4.7109375" style="816" customWidth="1"/>
    <col min="13066" max="13066" width="9.42578125" style="816" customWidth="1"/>
    <col min="13067" max="13067" width="4.85546875" style="816" customWidth="1"/>
    <col min="13068" max="13068" width="12.5703125" style="816" customWidth="1"/>
    <col min="13069" max="13069" width="4.5703125" style="816" customWidth="1"/>
    <col min="13070" max="13315" width="11.42578125" style="816"/>
    <col min="13316" max="13316" width="9.140625" style="816" customWidth="1"/>
    <col min="13317" max="13317" width="8.5703125" style="816" customWidth="1"/>
    <col min="13318" max="13318" width="11" style="816" customWidth="1"/>
    <col min="13319" max="13319" width="5.5703125" style="816" customWidth="1"/>
    <col min="13320" max="13320" width="10.28515625" style="816" customWidth="1"/>
    <col min="13321" max="13321" width="4.7109375" style="816" customWidth="1"/>
    <col min="13322" max="13322" width="9.42578125" style="816" customWidth="1"/>
    <col min="13323" max="13323" width="4.85546875" style="816" customWidth="1"/>
    <col min="13324" max="13324" width="12.5703125" style="816" customWidth="1"/>
    <col min="13325" max="13325" width="4.5703125" style="816" customWidth="1"/>
    <col min="13326" max="13571" width="11.42578125" style="816"/>
    <col min="13572" max="13572" width="9.140625" style="816" customWidth="1"/>
    <col min="13573" max="13573" width="8.5703125" style="816" customWidth="1"/>
    <col min="13574" max="13574" width="11" style="816" customWidth="1"/>
    <col min="13575" max="13575" width="5.5703125" style="816" customWidth="1"/>
    <col min="13576" max="13576" width="10.28515625" style="816" customWidth="1"/>
    <col min="13577" max="13577" width="4.7109375" style="816" customWidth="1"/>
    <col min="13578" max="13578" width="9.42578125" style="816" customWidth="1"/>
    <col min="13579" max="13579" width="4.85546875" style="816" customWidth="1"/>
    <col min="13580" max="13580" width="12.5703125" style="816" customWidth="1"/>
    <col min="13581" max="13581" width="4.5703125" style="816" customWidth="1"/>
    <col min="13582" max="13827" width="11.42578125" style="816"/>
    <col min="13828" max="13828" width="9.140625" style="816" customWidth="1"/>
    <col min="13829" max="13829" width="8.5703125" style="816" customWidth="1"/>
    <col min="13830" max="13830" width="11" style="816" customWidth="1"/>
    <col min="13831" max="13831" width="5.5703125" style="816" customWidth="1"/>
    <col min="13832" max="13832" width="10.28515625" style="816" customWidth="1"/>
    <col min="13833" max="13833" width="4.7109375" style="816" customWidth="1"/>
    <col min="13834" max="13834" width="9.42578125" style="816" customWidth="1"/>
    <col min="13835" max="13835" width="4.85546875" style="816" customWidth="1"/>
    <col min="13836" max="13836" width="12.5703125" style="816" customWidth="1"/>
    <col min="13837" max="13837" width="4.5703125" style="816" customWidth="1"/>
    <col min="13838" max="14083" width="11.42578125" style="816"/>
    <col min="14084" max="14084" width="9.140625" style="816" customWidth="1"/>
    <col min="14085" max="14085" width="8.5703125" style="816" customWidth="1"/>
    <col min="14086" max="14086" width="11" style="816" customWidth="1"/>
    <col min="14087" max="14087" width="5.5703125" style="816" customWidth="1"/>
    <col min="14088" max="14088" width="10.28515625" style="816" customWidth="1"/>
    <col min="14089" max="14089" width="4.7109375" style="816" customWidth="1"/>
    <col min="14090" max="14090" width="9.42578125" style="816" customWidth="1"/>
    <col min="14091" max="14091" width="4.85546875" style="816" customWidth="1"/>
    <col min="14092" max="14092" width="12.5703125" style="816" customWidth="1"/>
    <col min="14093" max="14093" width="4.5703125" style="816" customWidth="1"/>
    <col min="14094" max="14339" width="11.42578125" style="816"/>
    <col min="14340" max="14340" width="9.140625" style="816" customWidth="1"/>
    <col min="14341" max="14341" width="8.5703125" style="816" customWidth="1"/>
    <col min="14342" max="14342" width="11" style="816" customWidth="1"/>
    <col min="14343" max="14343" width="5.5703125" style="816" customWidth="1"/>
    <col min="14344" max="14344" width="10.28515625" style="816" customWidth="1"/>
    <col min="14345" max="14345" width="4.7109375" style="816" customWidth="1"/>
    <col min="14346" max="14346" width="9.42578125" style="816" customWidth="1"/>
    <col min="14347" max="14347" width="4.85546875" style="816" customWidth="1"/>
    <col min="14348" max="14348" width="12.5703125" style="816" customWidth="1"/>
    <col min="14349" max="14349" width="4.5703125" style="816" customWidth="1"/>
    <col min="14350" max="14595" width="11.42578125" style="816"/>
    <col min="14596" max="14596" width="9.140625" style="816" customWidth="1"/>
    <col min="14597" max="14597" width="8.5703125" style="816" customWidth="1"/>
    <col min="14598" max="14598" width="11" style="816" customWidth="1"/>
    <col min="14599" max="14599" width="5.5703125" style="816" customWidth="1"/>
    <col min="14600" max="14600" width="10.28515625" style="816" customWidth="1"/>
    <col min="14601" max="14601" width="4.7109375" style="816" customWidth="1"/>
    <col min="14602" max="14602" width="9.42578125" style="816" customWidth="1"/>
    <col min="14603" max="14603" width="4.85546875" style="816" customWidth="1"/>
    <col min="14604" max="14604" width="12.5703125" style="816" customWidth="1"/>
    <col min="14605" max="14605" width="4.5703125" style="816" customWidth="1"/>
    <col min="14606" max="14851" width="11.42578125" style="816"/>
    <col min="14852" max="14852" width="9.140625" style="816" customWidth="1"/>
    <col min="14853" max="14853" width="8.5703125" style="816" customWidth="1"/>
    <col min="14854" max="14854" width="11" style="816" customWidth="1"/>
    <col min="14855" max="14855" width="5.5703125" style="816" customWidth="1"/>
    <col min="14856" max="14856" width="10.28515625" style="816" customWidth="1"/>
    <col min="14857" max="14857" width="4.7109375" style="816" customWidth="1"/>
    <col min="14858" max="14858" width="9.42578125" style="816" customWidth="1"/>
    <col min="14859" max="14859" width="4.85546875" style="816" customWidth="1"/>
    <col min="14860" max="14860" width="12.5703125" style="816" customWidth="1"/>
    <col min="14861" max="14861" width="4.5703125" style="816" customWidth="1"/>
    <col min="14862" max="15107" width="11.42578125" style="816"/>
    <col min="15108" max="15108" width="9.140625" style="816" customWidth="1"/>
    <col min="15109" max="15109" width="8.5703125" style="816" customWidth="1"/>
    <col min="15110" max="15110" width="11" style="816" customWidth="1"/>
    <col min="15111" max="15111" width="5.5703125" style="816" customWidth="1"/>
    <col min="15112" max="15112" width="10.28515625" style="816" customWidth="1"/>
    <col min="15113" max="15113" width="4.7109375" style="816" customWidth="1"/>
    <col min="15114" max="15114" width="9.42578125" style="816" customWidth="1"/>
    <col min="15115" max="15115" width="4.85546875" style="816" customWidth="1"/>
    <col min="15116" max="15116" width="12.5703125" style="816" customWidth="1"/>
    <col min="15117" max="15117" width="4.5703125" style="816" customWidth="1"/>
    <col min="15118" max="15363" width="11.42578125" style="816"/>
    <col min="15364" max="15364" width="9.140625" style="816" customWidth="1"/>
    <col min="15365" max="15365" width="8.5703125" style="816" customWidth="1"/>
    <col min="15366" max="15366" width="11" style="816" customWidth="1"/>
    <col min="15367" max="15367" width="5.5703125" style="816" customWidth="1"/>
    <col min="15368" max="15368" width="10.28515625" style="816" customWidth="1"/>
    <col min="15369" max="15369" width="4.7109375" style="816" customWidth="1"/>
    <col min="15370" max="15370" width="9.42578125" style="816" customWidth="1"/>
    <col min="15371" max="15371" width="4.85546875" style="816" customWidth="1"/>
    <col min="15372" max="15372" width="12.5703125" style="816" customWidth="1"/>
    <col min="15373" max="15373" width="4.5703125" style="816" customWidth="1"/>
    <col min="15374" max="15619" width="11.42578125" style="816"/>
    <col min="15620" max="15620" width="9.140625" style="816" customWidth="1"/>
    <col min="15621" max="15621" width="8.5703125" style="816" customWidth="1"/>
    <col min="15622" max="15622" width="11" style="816" customWidth="1"/>
    <col min="15623" max="15623" width="5.5703125" style="816" customWidth="1"/>
    <col min="15624" max="15624" width="10.28515625" style="816" customWidth="1"/>
    <col min="15625" max="15625" width="4.7109375" style="816" customWidth="1"/>
    <col min="15626" max="15626" width="9.42578125" style="816" customWidth="1"/>
    <col min="15627" max="15627" width="4.85546875" style="816" customWidth="1"/>
    <col min="15628" max="15628" width="12.5703125" style="816" customWidth="1"/>
    <col min="15629" max="15629" width="4.5703125" style="816" customWidth="1"/>
    <col min="15630" max="15875" width="11.42578125" style="816"/>
    <col min="15876" max="15876" width="9.140625" style="816" customWidth="1"/>
    <col min="15877" max="15877" width="8.5703125" style="816" customWidth="1"/>
    <col min="15878" max="15878" width="11" style="816" customWidth="1"/>
    <col min="15879" max="15879" width="5.5703125" style="816" customWidth="1"/>
    <col min="15880" max="15880" width="10.28515625" style="816" customWidth="1"/>
    <col min="15881" max="15881" width="4.7109375" style="816" customWidth="1"/>
    <col min="15882" max="15882" width="9.42578125" style="816" customWidth="1"/>
    <col min="15883" max="15883" width="4.85546875" style="816" customWidth="1"/>
    <col min="15884" max="15884" width="12.5703125" style="816" customWidth="1"/>
    <col min="15885" max="15885" width="4.5703125" style="816" customWidth="1"/>
    <col min="15886" max="16131" width="11.42578125" style="816"/>
    <col min="16132" max="16132" width="9.140625" style="816" customWidth="1"/>
    <col min="16133" max="16133" width="8.5703125" style="816" customWidth="1"/>
    <col min="16134" max="16134" width="11" style="816" customWidth="1"/>
    <col min="16135" max="16135" width="5.5703125" style="816" customWidth="1"/>
    <col min="16136" max="16136" width="10.28515625" style="816" customWidth="1"/>
    <col min="16137" max="16137" width="4.7109375" style="816" customWidth="1"/>
    <col min="16138" max="16138" width="9.42578125" style="816" customWidth="1"/>
    <col min="16139" max="16139" width="4.85546875" style="816" customWidth="1"/>
    <col min="16140" max="16140" width="12.5703125" style="816" customWidth="1"/>
    <col min="16141" max="16141" width="4.5703125" style="816" customWidth="1"/>
    <col min="16142" max="16384" width="11.42578125" style="816"/>
  </cols>
  <sheetData>
    <row r="7" spans="3:14">
      <c r="C7" s="816" t="s">
        <v>4447</v>
      </c>
    </row>
    <row r="9" spans="3:14">
      <c r="C9" s="821" t="s">
        <v>4448</v>
      </c>
      <c r="D9" s="821" t="s">
        <v>4449</v>
      </c>
      <c r="E9" s="821"/>
      <c r="F9" s="821" t="s">
        <v>4450</v>
      </c>
      <c r="G9" s="821"/>
      <c r="H9" s="821" t="s">
        <v>4451</v>
      </c>
      <c r="I9" s="821"/>
      <c r="J9" s="821" t="s">
        <v>4452</v>
      </c>
      <c r="K9" s="821"/>
      <c r="L9" s="1569" t="s">
        <v>2484</v>
      </c>
      <c r="M9" s="1569"/>
      <c r="N9" s="1569" t="s">
        <v>1356</v>
      </c>
    </row>
    <row r="10" spans="3:14">
      <c r="C10" s="821"/>
      <c r="D10" s="821" t="s">
        <v>2488</v>
      </c>
      <c r="E10" s="821"/>
      <c r="F10" s="821" t="s">
        <v>4453</v>
      </c>
      <c r="G10" s="821"/>
      <c r="H10" s="821" t="s">
        <v>4454</v>
      </c>
      <c r="I10" s="821"/>
      <c r="J10" s="821" t="s">
        <v>4454</v>
      </c>
      <c r="K10" s="821"/>
      <c r="L10" s="1569" t="s">
        <v>2488</v>
      </c>
      <c r="M10" s="1569"/>
      <c r="N10" s="1569" t="s">
        <v>3438</v>
      </c>
    </row>
    <row r="11" spans="3:14">
      <c r="C11" s="821" t="s">
        <v>389</v>
      </c>
      <c r="D11" s="821">
        <v>18</v>
      </c>
      <c r="E11" s="1570" t="s">
        <v>212</v>
      </c>
      <c r="F11" s="821">
        <v>0.01</v>
      </c>
      <c r="G11" s="1570" t="s">
        <v>212</v>
      </c>
      <c r="H11" s="821">
        <v>870</v>
      </c>
      <c r="I11" s="1570" t="s">
        <v>212</v>
      </c>
      <c r="J11" s="821">
        <v>1170</v>
      </c>
      <c r="K11" s="1570" t="s">
        <v>212</v>
      </c>
      <c r="L11" s="1571">
        <v>997.94117647058829</v>
      </c>
      <c r="M11" s="1570" t="s">
        <v>212</v>
      </c>
      <c r="N11" s="1571">
        <v>4.774535809018567</v>
      </c>
    </row>
    <row r="12" spans="3:14">
      <c r="C12" s="821" t="s">
        <v>391</v>
      </c>
      <c r="D12" s="821">
        <v>13.5</v>
      </c>
      <c r="E12" s="1570" t="s">
        <v>212</v>
      </c>
      <c r="F12" s="821">
        <v>0.01</v>
      </c>
      <c r="G12" s="1570" t="s">
        <v>212</v>
      </c>
      <c r="H12" s="821">
        <v>820</v>
      </c>
      <c r="I12" s="1570" t="s">
        <v>212</v>
      </c>
      <c r="J12" s="821">
        <v>1280</v>
      </c>
      <c r="K12" s="1570" t="s">
        <v>212</v>
      </c>
      <c r="L12" s="1571">
        <v>999.61904761904759</v>
      </c>
      <c r="M12" s="1570" t="s">
        <v>212</v>
      </c>
      <c r="N12" s="1571">
        <v>3.9936642530487805</v>
      </c>
    </row>
    <row r="13" spans="3:14">
      <c r="C13" s="821" t="s">
        <v>396</v>
      </c>
      <c r="D13" s="821">
        <v>10.5</v>
      </c>
      <c r="E13" s="1570" t="s">
        <v>212</v>
      </c>
      <c r="F13" s="821">
        <v>3.0000000000000001E-3</v>
      </c>
      <c r="G13" s="1570" t="s">
        <v>212</v>
      </c>
      <c r="H13" s="821">
        <v>700</v>
      </c>
      <c r="I13" s="1570" t="s">
        <v>212</v>
      </c>
      <c r="J13" s="821">
        <v>1500</v>
      </c>
      <c r="K13" s="1570" t="s">
        <v>212</v>
      </c>
      <c r="L13" s="1571">
        <v>954.5454545454545</v>
      </c>
      <c r="M13" s="1570" t="s">
        <v>212</v>
      </c>
      <c r="N13" s="1571">
        <v>14</v>
      </c>
    </row>
    <row r="14" spans="3:14">
      <c r="C14" s="821" t="s">
        <v>3141</v>
      </c>
      <c r="D14" s="821">
        <v>12</v>
      </c>
      <c r="E14" s="1570" t="s">
        <v>212</v>
      </c>
      <c r="F14" s="821">
        <v>3.0000000000000001E-3</v>
      </c>
      <c r="G14" s="1570" t="s">
        <v>212</v>
      </c>
      <c r="H14" s="821">
        <v>500</v>
      </c>
      <c r="I14" s="1570" t="s">
        <v>212</v>
      </c>
      <c r="J14" s="821">
        <v>1000</v>
      </c>
      <c r="K14" s="1570" t="s">
        <v>212</v>
      </c>
      <c r="L14" s="1571">
        <v>666.66666666666663</v>
      </c>
      <c r="M14" s="1570" t="s">
        <v>212</v>
      </c>
      <c r="N14" s="1571">
        <v>24</v>
      </c>
    </row>
    <row r="15" spans="3:14">
      <c r="C15" s="821" t="s">
        <v>4455</v>
      </c>
      <c r="D15" s="821">
        <v>24</v>
      </c>
      <c r="E15" s="1570" t="s">
        <v>212</v>
      </c>
      <c r="F15" s="821">
        <v>2E-3</v>
      </c>
      <c r="G15" s="1570" t="s">
        <v>212</v>
      </c>
      <c r="H15" s="821">
        <v>2000</v>
      </c>
      <c r="I15" s="1570" t="s">
        <v>212</v>
      </c>
      <c r="J15" s="821">
        <v>5000</v>
      </c>
      <c r="K15" s="1570" t="s">
        <v>212</v>
      </c>
      <c r="L15" s="1571">
        <v>2857.1428571428573</v>
      </c>
      <c r="M15" s="1570" t="s">
        <v>212</v>
      </c>
      <c r="N15" s="1571">
        <v>43.2</v>
      </c>
    </row>
    <row r="20" spans="3:14">
      <c r="C20" s="821"/>
      <c r="D20" s="821"/>
      <c r="E20" s="821"/>
      <c r="F20" s="821"/>
      <c r="G20" s="821"/>
      <c r="H20" s="821"/>
      <c r="I20" s="821"/>
      <c r="J20" s="821"/>
      <c r="K20" s="821"/>
      <c r="L20" s="1569"/>
      <c r="M20" s="1569"/>
      <c r="N20" s="1569"/>
    </row>
    <row r="21" spans="3:14">
      <c r="C21" s="821"/>
      <c r="D21" s="821"/>
      <c r="E21" s="821"/>
      <c r="F21" s="821"/>
      <c r="G21" s="821"/>
      <c r="H21" s="821"/>
      <c r="I21" s="821"/>
      <c r="J21" s="821"/>
      <c r="K21" s="821"/>
      <c r="L21" s="1569"/>
      <c r="M21" s="1569"/>
      <c r="N21" s="1569"/>
    </row>
    <row r="22" spans="3:14">
      <c r="C22" s="821"/>
      <c r="D22" s="821"/>
      <c r="E22" s="1570"/>
      <c r="F22" s="821"/>
      <c r="G22" s="1570"/>
      <c r="H22" s="821"/>
      <c r="I22" s="1570"/>
      <c r="J22" s="821"/>
      <c r="K22" s="1570"/>
      <c r="L22" s="1571"/>
      <c r="M22" s="1570"/>
      <c r="N22" s="1571"/>
    </row>
    <row r="23" spans="3:14">
      <c r="C23" s="821"/>
      <c r="D23" s="821"/>
      <c r="E23" s="1570"/>
      <c r="F23" s="821"/>
      <c r="G23" s="1570"/>
      <c r="H23" s="821"/>
      <c r="I23" s="1570"/>
      <c r="J23" s="821"/>
      <c r="K23" s="1570"/>
      <c r="L23" s="1571"/>
      <c r="M23" s="1570"/>
      <c r="N23" s="1571"/>
    </row>
    <row r="24" spans="3:14">
      <c r="C24" s="821"/>
      <c r="D24" s="821"/>
      <c r="E24" s="1570"/>
      <c r="F24" s="821"/>
      <c r="G24" s="1570"/>
      <c r="H24" s="821"/>
      <c r="I24" s="1570"/>
      <c r="J24" s="821"/>
      <c r="K24" s="1570"/>
      <c r="L24" s="1571"/>
      <c r="M24" s="1570"/>
      <c r="N24" s="1571"/>
    </row>
    <row r="25" spans="3:14">
      <c r="C25" s="821"/>
      <c r="D25" s="821"/>
      <c r="E25" s="1570"/>
      <c r="F25" s="821"/>
      <c r="G25" s="1570"/>
      <c r="H25" s="821"/>
      <c r="I25" s="1570"/>
      <c r="J25" s="821"/>
      <c r="K25" s="1570"/>
      <c r="L25" s="1571"/>
      <c r="M25" s="1570"/>
      <c r="N25" s="1571"/>
    </row>
    <row r="26" spans="3:14">
      <c r="C26" s="821"/>
      <c r="D26" s="821"/>
      <c r="E26" s="1570"/>
      <c r="F26" s="821"/>
      <c r="G26" s="1570"/>
      <c r="H26" s="821"/>
      <c r="I26" s="1570"/>
      <c r="J26" s="821"/>
      <c r="K26" s="1570"/>
      <c r="L26" s="1571"/>
      <c r="M26" s="1570"/>
      <c r="N26" s="1571"/>
    </row>
  </sheetData>
  <pageMargins left="0.78740157499999996" right="0.78740157499999996" top="0.984251969" bottom="0.984251969" header="0.4921259845" footer="0.4921259845"/>
  <pageSetup paperSize="9" orientation="portrait"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D13"/>
  <sheetViews>
    <sheetView workbookViewId="0">
      <selection activeCell="J26" sqref="J26"/>
    </sheetView>
  </sheetViews>
  <sheetFormatPr baseColWidth="10" defaultRowHeight="12.75"/>
  <cols>
    <col min="1" max="1" width="11.42578125" style="816"/>
    <col min="2" max="2" width="32.7109375" style="816" customWidth="1"/>
    <col min="3" max="257" width="11.42578125" style="816"/>
    <col min="258" max="258" width="32.7109375" style="816" customWidth="1"/>
    <col min="259" max="513" width="11.42578125" style="816"/>
    <col min="514" max="514" width="32.7109375" style="816" customWidth="1"/>
    <col min="515" max="769" width="11.42578125" style="816"/>
    <col min="770" max="770" width="32.7109375" style="816" customWidth="1"/>
    <col min="771" max="1025" width="11.42578125" style="816"/>
    <col min="1026" max="1026" width="32.7109375" style="816" customWidth="1"/>
    <col min="1027" max="1281" width="11.42578125" style="816"/>
    <col min="1282" max="1282" width="32.7109375" style="816" customWidth="1"/>
    <col min="1283" max="1537" width="11.42578125" style="816"/>
    <col min="1538" max="1538" width="32.7109375" style="816" customWidth="1"/>
    <col min="1539" max="1793" width="11.42578125" style="816"/>
    <col min="1794" max="1794" width="32.7109375" style="816" customWidth="1"/>
    <col min="1795" max="2049" width="11.42578125" style="816"/>
    <col min="2050" max="2050" width="32.7109375" style="816" customWidth="1"/>
    <col min="2051" max="2305" width="11.42578125" style="816"/>
    <col min="2306" max="2306" width="32.7109375" style="816" customWidth="1"/>
    <col min="2307" max="2561" width="11.42578125" style="816"/>
    <col min="2562" max="2562" width="32.7109375" style="816" customWidth="1"/>
    <col min="2563" max="2817" width="11.42578125" style="816"/>
    <col min="2818" max="2818" width="32.7109375" style="816" customWidth="1"/>
    <col min="2819" max="3073" width="11.42578125" style="816"/>
    <col min="3074" max="3074" width="32.7109375" style="816" customWidth="1"/>
    <col min="3075" max="3329" width="11.42578125" style="816"/>
    <col min="3330" max="3330" width="32.7109375" style="816" customWidth="1"/>
    <col min="3331" max="3585" width="11.42578125" style="816"/>
    <col min="3586" max="3586" width="32.7109375" style="816" customWidth="1"/>
    <col min="3587" max="3841" width="11.42578125" style="816"/>
    <col min="3842" max="3842" width="32.7109375" style="816" customWidth="1"/>
    <col min="3843" max="4097" width="11.42578125" style="816"/>
    <col min="4098" max="4098" width="32.7109375" style="816" customWidth="1"/>
    <col min="4099" max="4353" width="11.42578125" style="816"/>
    <col min="4354" max="4354" width="32.7109375" style="816" customWidth="1"/>
    <col min="4355" max="4609" width="11.42578125" style="816"/>
    <col min="4610" max="4610" width="32.7109375" style="816" customWidth="1"/>
    <col min="4611" max="4865" width="11.42578125" style="816"/>
    <col min="4866" max="4866" width="32.7109375" style="816" customWidth="1"/>
    <col min="4867" max="5121" width="11.42578125" style="816"/>
    <col min="5122" max="5122" width="32.7109375" style="816" customWidth="1"/>
    <col min="5123" max="5377" width="11.42578125" style="816"/>
    <col min="5378" max="5378" width="32.7109375" style="816" customWidth="1"/>
    <col min="5379" max="5633" width="11.42578125" style="816"/>
    <col min="5634" max="5634" width="32.7109375" style="816" customWidth="1"/>
    <col min="5635" max="5889" width="11.42578125" style="816"/>
    <col min="5890" max="5890" width="32.7109375" style="816" customWidth="1"/>
    <col min="5891" max="6145" width="11.42578125" style="816"/>
    <col min="6146" max="6146" width="32.7109375" style="816" customWidth="1"/>
    <col min="6147" max="6401" width="11.42578125" style="816"/>
    <col min="6402" max="6402" width="32.7109375" style="816" customWidth="1"/>
    <col min="6403" max="6657" width="11.42578125" style="816"/>
    <col min="6658" max="6658" width="32.7109375" style="816" customWidth="1"/>
    <col min="6659" max="6913" width="11.42578125" style="816"/>
    <col min="6914" max="6914" width="32.7109375" style="816" customWidth="1"/>
    <col min="6915" max="7169" width="11.42578125" style="816"/>
    <col min="7170" max="7170" width="32.7109375" style="816" customWidth="1"/>
    <col min="7171" max="7425" width="11.42578125" style="816"/>
    <col min="7426" max="7426" width="32.7109375" style="816" customWidth="1"/>
    <col min="7427" max="7681" width="11.42578125" style="816"/>
    <col min="7682" max="7682" width="32.7109375" style="816" customWidth="1"/>
    <col min="7683" max="7937" width="11.42578125" style="816"/>
    <col min="7938" max="7938" width="32.7109375" style="816" customWidth="1"/>
    <col min="7939" max="8193" width="11.42578125" style="816"/>
    <col min="8194" max="8194" width="32.7109375" style="816" customWidth="1"/>
    <col min="8195" max="8449" width="11.42578125" style="816"/>
    <col min="8450" max="8450" width="32.7109375" style="816" customWidth="1"/>
    <col min="8451" max="8705" width="11.42578125" style="816"/>
    <col min="8706" max="8706" width="32.7109375" style="816" customWidth="1"/>
    <col min="8707" max="8961" width="11.42578125" style="816"/>
    <col min="8962" max="8962" width="32.7109375" style="816" customWidth="1"/>
    <col min="8963" max="9217" width="11.42578125" style="816"/>
    <col min="9218" max="9218" width="32.7109375" style="816" customWidth="1"/>
    <col min="9219" max="9473" width="11.42578125" style="816"/>
    <col min="9474" max="9474" width="32.7109375" style="816" customWidth="1"/>
    <col min="9475" max="9729" width="11.42578125" style="816"/>
    <col min="9730" max="9730" width="32.7109375" style="816" customWidth="1"/>
    <col min="9731" max="9985" width="11.42578125" style="816"/>
    <col min="9986" max="9986" width="32.7109375" style="816" customWidth="1"/>
    <col min="9987" max="10241" width="11.42578125" style="816"/>
    <col min="10242" max="10242" width="32.7109375" style="816" customWidth="1"/>
    <col min="10243" max="10497" width="11.42578125" style="816"/>
    <col min="10498" max="10498" width="32.7109375" style="816" customWidth="1"/>
    <col min="10499" max="10753" width="11.42578125" style="816"/>
    <col min="10754" max="10754" width="32.7109375" style="816" customWidth="1"/>
    <col min="10755" max="11009" width="11.42578125" style="816"/>
    <col min="11010" max="11010" width="32.7109375" style="816" customWidth="1"/>
    <col min="11011" max="11265" width="11.42578125" style="816"/>
    <col min="11266" max="11266" width="32.7109375" style="816" customWidth="1"/>
    <col min="11267" max="11521" width="11.42578125" style="816"/>
    <col min="11522" max="11522" width="32.7109375" style="816" customWidth="1"/>
    <col min="11523" max="11777" width="11.42578125" style="816"/>
    <col min="11778" max="11778" width="32.7109375" style="816" customWidth="1"/>
    <col min="11779" max="12033" width="11.42578125" style="816"/>
    <col min="12034" max="12034" width="32.7109375" style="816" customWidth="1"/>
    <col min="12035" max="12289" width="11.42578125" style="816"/>
    <col min="12290" max="12290" width="32.7109375" style="816" customWidth="1"/>
    <col min="12291" max="12545" width="11.42578125" style="816"/>
    <col min="12546" max="12546" width="32.7109375" style="816" customWidth="1"/>
    <col min="12547" max="12801" width="11.42578125" style="816"/>
    <col min="12802" max="12802" width="32.7109375" style="816" customWidth="1"/>
    <col min="12803" max="13057" width="11.42578125" style="816"/>
    <col min="13058" max="13058" width="32.7109375" style="816" customWidth="1"/>
    <col min="13059" max="13313" width="11.42578125" style="816"/>
    <col min="13314" max="13314" width="32.7109375" style="816" customWidth="1"/>
    <col min="13315" max="13569" width="11.42578125" style="816"/>
    <col min="13570" max="13570" width="32.7109375" style="816" customWidth="1"/>
    <col min="13571" max="13825" width="11.42578125" style="816"/>
    <col min="13826" max="13826" width="32.7109375" style="816" customWidth="1"/>
    <col min="13827" max="14081" width="11.42578125" style="816"/>
    <col min="14082" max="14082" width="32.7109375" style="816" customWidth="1"/>
    <col min="14083" max="14337" width="11.42578125" style="816"/>
    <col min="14338" max="14338" width="32.7109375" style="816" customWidth="1"/>
    <col min="14339" max="14593" width="11.42578125" style="816"/>
    <col min="14594" max="14594" width="32.7109375" style="816" customWidth="1"/>
    <col min="14595" max="14849" width="11.42578125" style="816"/>
    <col min="14850" max="14850" width="32.7109375" style="816" customWidth="1"/>
    <col min="14851" max="15105" width="11.42578125" style="816"/>
    <col min="15106" max="15106" width="32.7109375" style="816" customWidth="1"/>
    <col min="15107" max="15361" width="11.42578125" style="816"/>
    <col min="15362" max="15362" width="32.7109375" style="816" customWidth="1"/>
    <col min="15363" max="15617" width="11.42578125" style="816"/>
    <col min="15618" max="15618" width="32.7109375" style="816" customWidth="1"/>
    <col min="15619" max="15873" width="11.42578125" style="816"/>
    <col min="15874" max="15874" width="32.7109375" style="816" customWidth="1"/>
    <col min="15875" max="16129" width="11.42578125" style="816"/>
    <col min="16130" max="16130" width="32.7109375" style="816" customWidth="1"/>
    <col min="16131" max="16384" width="11.42578125" style="816"/>
  </cols>
  <sheetData>
    <row r="2" spans="2:4">
      <c r="B2" s="816" t="s">
        <v>4456</v>
      </c>
    </row>
    <row r="3" spans="2:4">
      <c r="B3" s="816" t="s">
        <v>4457</v>
      </c>
    </row>
    <row r="4" spans="2:4">
      <c r="B4" s="816" t="s">
        <v>4458</v>
      </c>
    </row>
    <row r="6" spans="2:4">
      <c r="B6" s="816" t="s">
        <v>3339</v>
      </c>
      <c r="C6" s="1549">
        <v>600</v>
      </c>
      <c r="D6" s="816" t="s">
        <v>212</v>
      </c>
    </row>
    <row r="7" spans="2:4">
      <c r="B7" s="816" t="s">
        <v>3338</v>
      </c>
      <c r="C7" s="1549">
        <v>500</v>
      </c>
      <c r="D7" s="816" t="s">
        <v>212</v>
      </c>
    </row>
    <row r="8" spans="2:4">
      <c r="B8" s="816" t="s">
        <v>2971</v>
      </c>
      <c r="C8" s="1549">
        <v>12</v>
      </c>
      <c r="D8" s="816" t="s">
        <v>212</v>
      </c>
    </row>
    <row r="9" spans="2:4">
      <c r="B9" s="816" t="s">
        <v>3342</v>
      </c>
      <c r="C9" s="1549">
        <v>0.01</v>
      </c>
      <c r="D9" s="816" t="s">
        <v>212</v>
      </c>
    </row>
    <row r="11" spans="2:4">
      <c r="B11" s="816" t="s">
        <v>3341</v>
      </c>
      <c r="C11" s="816">
        <v>1100</v>
      </c>
      <c r="D11" s="816" t="s">
        <v>212</v>
      </c>
    </row>
    <row r="12" spans="2:4">
      <c r="B12" s="816" t="s">
        <v>1356</v>
      </c>
      <c r="C12" s="826">
        <v>5.4545454545454541</v>
      </c>
    </row>
    <row r="13" spans="2:4">
      <c r="B13" s="816" t="s">
        <v>4459</v>
      </c>
      <c r="C13" s="826">
        <v>776.47058823529414</v>
      </c>
      <c r="D13" s="816" t="s">
        <v>212</v>
      </c>
    </row>
  </sheetData>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0"/>
  <dimension ref="A1:O274"/>
  <sheetViews>
    <sheetView zoomScale="90" zoomScaleNormal="90" workbookViewId="0">
      <selection activeCell="M222" sqref="M222"/>
    </sheetView>
  </sheetViews>
  <sheetFormatPr baseColWidth="10" defaultColWidth="11.42578125" defaultRowHeight="15"/>
  <cols>
    <col min="1" max="1" width="11.42578125" style="85"/>
    <col min="2" max="2" width="29.7109375" style="85" customWidth="1"/>
    <col min="3" max="4" width="11.42578125" style="85"/>
    <col min="5" max="5" width="18.85546875" style="85" customWidth="1"/>
    <col min="6" max="6" width="9.7109375" style="85" customWidth="1"/>
    <col min="7" max="7" width="27.28515625" style="85" customWidth="1"/>
    <col min="8" max="8" width="11.42578125" style="87"/>
    <col min="9" max="9" width="11.140625" style="85" customWidth="1"/>
    <col min="10" max="10" width="13.42578125" style="85" customWidth="1"/>
    <col min="11" max="11" width="4.28515625" style="85" customWidth="1"/>
    <col min="12" max="16384" width="11.42578125" style="85"/>
  </cols>
  <sheetData>
    <row r="1" spans="2:8" s="80" customFormat="1">
      <c r="H1" s="81"/>
    </row>
    <row r="2" spans="2:8" s="80" customFormat="1">
      <c r="H2" s="81"/>
    </row>
    <row r="3" spans="2:8" s="80" customFormat="1">
      <c r="B3" s="82" t="s">
        <v>255</v>
      </c>
      <c r="H3" s="81"/>
    </row>
    <row r="4" spans="2:8" s="80" customFormat="1">
      <c r="B4" s="82"/>
      <c r="H4" s="81"/>
    </row>
    <row r="5" spans="2:8" s="80" customFormat="1">
      <c r="B5" s="82" t="s">
        <v>256</v>
      </c>
      <c r="H5" s="81"/>
    </row>
    <row r="6" spans="2:8" s="80" customFormat="1">
      <c r="B6" s="82" t="s">
        <v>257</v>
      </c>
      <c r="H6" s="81"/>
    </row>
    <row r="7" spans="2:8" s="80" customFormat="1">
      <c r="B7" s="82"/>
      <c r="H7" s="81"/>
    </row>
    <row r="8" spans="2:8" s="80" customFormat="1">
      <c r="B8" s="82" t="s">
        <v>258</v>
      </c>
      <c r="H8" s="81"/>
    </row>
    <row r="9" spans="2:8" s="80" customFormat="1">
      <c r="B9" s="83" t="s">
        <v>259</v>
      </c>
      <c r="H9" s="81"/>
    </row>
    <row r="10" spans="2:8" s="80" customFormat="1">
      <c r="B10" s="83" t="s">
        <v>260</v>
      </c>
      <c r="H10" s="81"/>
    </row>
    <row r="11" spans="2:8" s="80" customFormat="1">
      <c r="B11" s="82"/>
      <c r="H11" s="81"/>
    </row>
    <row r="12" spans="2:8" s="80" customFormat="1">
      <c r="B12" s="82" t="s">
        <v>261</v>
      </c>
      <c r="H12" s="81"/>
    </row>
    <row r="13" spans="2:8" s="80" customFormat="1">
      <c r="B13" s="83" t="s">
        <v>262</v>
      </c>
      <c r="H13" s="81"/>
    </row>
    <row r="14" spans="2:8" s="80" customFormat="1">
      <c r="B14" s="83" t="s">
        <v>263</v>
      </c>
      <c r="H14" s="81"/>
    </row>
    <row r="15" spans="2:8" s="80" customFormat="1">
      <c r="B15" s="82"/>
      <c r="H15" s="81"/>
    </row>
    <row r="16" spans="2:8" s="80" customFormat="1">
      <c r="B16" s="82" t="s">
        <v>264</v>
      </c>
      <c r="H16" s="81"/>
    </row>
    <row r="17" spans="2:8" s="80" customFormat="1">
      <c r="B17" s="82" t="s">
        <v>265</v>
      </c>
      <c r="H17" s="81"/>
    </row>
    <row r="18" spans="2:8" s="80" customFormat="1">
      <c r="H18" s="81"/>
    </row>
    <row r="19" spans="2:8" s="80" customFormat="1">
      <c r="B19" s="82" t="s">
        <v>266</v>
      </c>
      <c r="H19" s="81"/>
    </row>
    <row r="20" spans="2:8" s="80" customFormat="1">
      <c r="B20" s="83" t="s">
        <v>267</v>
      </c>
      <c r="H20" s="81"/>
    </row>
    <row r="21" spans="2:8" s="80" customFormat="1">
      <c r="B21" s="83" t="s">
        <v>268</v>
      </c>
      <c r="H21" s="81"/>
    </row>
    <row r="22" spans="2:8" s="80" customFormat="1">
      <c r="B22" s="82"/>
      <c r="H22" s="81"/>
    </row>
    <row r="23" spans="2:8" s="80" customFormat="1">
      <c r="B23" s="82" t="s">
        <v>269</v>
      </c>
      <c r="H23" s="81"/>
    </row>
    <row r="24" spans="2:8" s="80" customFormat="1">
      <c r="H24" s="81"/>
    </row>
    <row r="25" spans="2:8" s="80" customFormat="1">
      <c r="H25" s="81"/>
    </row>
    <row r="26" spans="2:8" s="80" customFormat="1">
      <c r="B26" s="84"/>
      <c r="C26" s="84"/>
      <c r="D26" s="84"/>
      <c r="E26" s="84"/>
      <c r="F26" s="84"/>
      <c r="H26" s="81"/>
    </row>
    <row r="27" spans="2:8" s="80" customFormat="1">
      <c r="B27" s="82" t="s">
        <v>256</v>
      </c>
      <c r="H27" s="81"/>
    </row>
    <row r="28" spans="2:8" s="80" customFormat="1">
      <c r="B28" s="82" t="s">
        <v>257</v>
      </c>
      <c r="H28" s="81"/>
    </row>
    <row r="30" spans="2:8">
      <c r="B30" s="85" t="s">
        <v>270</v>
      </c>
      <c r="C30" s="86">
        <v>0.8</v>
      </c>
      <c r="D30" s="85" t="s">
        <v>80</v>
      </c>
    </row>
    <row r="31" spans="2:8">
      <c r="B31" s="85" t="s">
        <v>271</v>
      </c>
      <c r="C31" s="86">
        <f>SQRT(2)</f>
        <v>1.4142135623730951</v>
      </c>
    </row>
    <row r="33" spans="2:5">
      <c r="B33" s="85" t="s">
        <v>272</v>
      </c>
      <c r="C33" s="88">
        <f>SQRT(C30/C31)</f>
        <v>0.75212061861727875</v>
      </c>
      <c r="D33" s="85" t="s">
        <v>68</v>
      </c>
      <c r="E33" s="85" t="s">
        <v>273</v>
      </c>
    </row>
    <row r="34" spans="2:5">
      <c r="C34" s="88">
        <f>C33*100</f>
        <v>75.212061861727875</v>
      </c>
      <c r="D34" s="85" t="s">
        <v>212</v>
      </c>
      <c r="E34" s="85" t="s">
        <v>274</v>
      </c>
    </row>
    <row r="35" spans="2:5">
      <c r="B35" s="85" t="s">
        <v>275</v>
      </c>
      <c r="C35" s="88">
        <f>C34*C31</f>
        <v>106.36591793889978</v>
      </c>
      <c r="D35" s="85" t="s">
        <v>212</v>
      </c>
    </row>
    <row r="36" spans="2:5">
      <c r="E36" s="85" t="s">
        <v>276</v>
      </c>
    </row>
    <row r="37" spans="2:5">
      <c r="E37" s="85" t="s">
        <v>277</v>
      </c>
    </row>
    <row r="38" spans="2:5">
      <c r="E38" s="85" t="s">
        <v>278</v>
      </c>
    </row>
    <row r="39" spans="2:5">
      <c r="E39" s="85" t="s">
        <v>279</v>
      </c>
    </row>
    <row r="41" spans="2:5">
      <c r="E41" s="85" t="s">
        <v>274</v>
      </c>
    </row>
    <row r="43" spans="2:5">
      <c r="B43" s="85" t="str">
        <f>"Die Seitenlänge a beträgt " &amp; ROUND(C35,2) &amp; " cm und die Seitenhöhe b beträgt " &amp; ROUND(C34,2) &amp; " cm"</f>
        <v>Die Seitenlänge a beträgt 106,37 cm und die Seitenhöhe b beträgt 75,21 cm</v>
      </c>
    </row>
    <row r="46" spans="2:5">
      <c r="B46" s="82" t="s">
        <v>258</v>
      </c>
      <c r="C46" s="80"/>
    </row>
    <row r="47" spans="2:5">
      <c r="B47" s="83" t="s">
        <v>259</v>
      </c>
      <c r="C47" s="80"/>
    </row>
    <row r="48" spans="2:5">
      <c r="B48" s="83" t="s">
        <v>260</v>
      </c>
      <c r="C48" s="80"/>
    </row>
    <row r="51" spans="2:4">
      <c r="B51" s="85" t="s">
        <v>280</v>
      </c>
      <c r="C51" s="86">
        <v>50</v>
      </c>
      <c r="D51" s="85" t="s">
        <v>212</v>
      </c>
    </row>
    <row r="52" spans="2:4">
      <c r="B52" s="85" t="s">
        <v>281</v>
      </c>
      <c r="C52" s="86">
        <v>60</v>
      </c>
      <c r="D52" s="85" t="s">
        <v>212</v>
      </c>
    </row>
    <row r="53" spans="2:4">
      <c r="B53" s="85" t="s">
        <v>282</v>
      </c>
      <c r="C53" s="86">
        <v>8</v>
      </c>
    </row>
    <row r="55" spans="2:4">
      <c r="B55" s="85" t="s">
        <v>283</v>
      </c>
      <c r="C55" s="85">
        <f>C51/C53</f>
        <v>6.25</v>
      </c>
      <c r="D55" s="85" t="s">
        <v>212</v>
      </c>
    </row>
    <row r="56" spans="2:4">
      <c r="B56" s="85" t="s">
        <v>284</v>
      </c>
      <c r="C56" s="85">
        <f>C52/C53</f>
        <v>7.5</v>
      </c>
      <c r="D56" s="85" t="s">
        <v>212</v>
      </c>
    </row>
    <row r="58" spans="2:4">
      <c r="B58" s="85" t="s">
        <v>79</v>
      </c>
      <c r="C58" s="89">
        <f>C55*C56</f>
        <v>46.875</v>
      </c>
      <c r="D58" s="85" t="s">
        <v>215</v>
      </c>
    </row>
    <row r="59" spans="2:4">
      <c r="B59" s="85" t="s">
        <v>88</v>
      </c>
      <c r="C59" s="89">
        <f>C51*C52</f>
        <v>3000</v>
      </c>
      <c r="D59" s="85" t="s">
        <v>215</v>
      </c>
    </row>
    <row r="61" spans="2:4">
      <c r="B61" s="85" t="s">
        <v>90</v>
      </c>
      <c r="C61" s="85">
        <f>C59/C58</f>
        <v>64</v>
      </c>
    </row>
    <row r="63" spans="2:4">
      <c r="B63" s="85" t="str">
        <f>"a) Die Originalbreite war " &amp; ROUND(C55,2) &amp; " cm, die Originalhöhe war " &amp; ROUND(C56,2) &amp; " cm."</f>
        <v>a) Die Originalbreite war 6,25 cm, die Originalhöhe war 7,5 cm.</v>
      </c>
    </row>
    <row r="64" spans="2:4">
      <c r="B64" s="85" t="str">
        <f>"b) Die vergrößerte Fläche ist " &amp; ROUND(C61,2) &amp; "mal größer als die Ursprungsfläche."</f>
        <v>b) Die vergrößerte Fläche ist 64mal größer als die Ursprungsfläche.</v>
      </c>
    </row>
    <row r="68" spans="1:7">
      <c r="B68" s="90" t="s">
        <v>285</v>
      </c>
    </row>
    <row r="70" spans="1:7">
      <c r="B70" s="91" t="s">
        <v>286</v>
      </c>
      <c r="C70" s="85">
        <v>125</v>
      </c>
      <c r="D70" s="85" t="s">
        <v>287</v>
      </c>
    </row>
    <row r="71" spans="1:7">
      <c r="B71" s="91" t="s">
        <v>288</v>
      </c>
      <c r="C71" s="85">
        <v>10000</v>
      </c>
      <c r="D71" s="85" t="s">
        <v>289</v>
      </c>
      <c r="G71" s="91"/>
    </row>
    <row r="72" spans="1:7">
      <c r="B72" s="91" t="s">
        <v>290</v>
      </c>
      <c r="C72" s="85">
        <f>14.8*21</f>
        <v>310.8</v>
      </c>
      <c r="D72" s="85" t="s">
        <v>215</v>
      </c>
    </row>
    <row r="73" spans="1:7">
      <c r="B73" s="91" t="s">
        <v>291</v>
      </c>
      <c r="C73" s="85">
        <f>C71/C70</f>
        <v>80</v>
      </c>
      <c r="D73" s="85" t="s">
        <v>80</v>
      </c>
    </row>
    <row r="74" spans="1:7">
      <c r="B74" s="91" t="s">
        <v>291</v>
      </c>
      <c r="C74" s="85">
        <f>C73*10000</f>
        <v>800000</v>
      </c>
      <c r="D74" s="85" t="s">
        <v>215</v>
      </c>
    </row>
    <row r="75" spans="1:7">
      <c r="B75" s="91"/>
    </row>
    <row r="76" spans="1:7">
      <c r="B76" s="91" t="s">
        <v>292</v>
      </c>
      <c r="C76" s="85">
        <f>C74/C72</f>
        <v>2574.002574002574</v>
      </c>
    </row>
    <row r="77" spans="1:7">
      <c r="B77" s="92" t="s">
        <v>293</v>
      </c>
    </row>
    <row r="78" spans="1:7">
      <c r="B78" s="91" t="s">
        <v>294</v>
      </c>
      <c r="C78" s="88">
        <f>10000/C72</f>
        <v>32.175032175032172</v>
      </c>
      <c r="D78" s="85" t="s">
        <v>295</v>
      </c>
    </row>
    <row r="79" spans="1:7">
      <c r="B79" s="91" t="s">
        <v>296</v>
      </c>
      <c r="C79" s="85">
        <f>C78*C73</f>
        <v>2574.002574002574</v>
      </c>
    </row>
    <row r="80" spans="1:7">
      <c r="A80" s="84"/>
      <c r="B80" s="84"/>
      <c r="C80" s="84"/>
      <c r="D80" s="84"/>
      <c r="E80" s="84"/>
      <c r="F80" s="84"/>
      <c r="G80" s="84"/>
    </row>
    <row r="81" spans="2:9">
      <c r="B81" s="85" t="s">
        <v>297</v>
      </c>
    </row>
    <row r="82" spans="2:9">
      <c r="E82" s="87" t="s">
        <v>224</v>
      </c>
      <c r="F82" s="87" t="s">
        <v>225</v>
      </c>
      <c r="H82" s="87" t="s">
        <v>298</v>
      </c>
    </row>
    <row r="83" spans="2:9">
      <c r="B83" s="93" t="s">
        <v>299</v>
      </c>
      <c r="C83" s="93">
        <v>1</v>
      </c>
      <c r="D83" s="94" t="s">
        <v>80</v>
      </c>
      <c r="E83" s="95">
        <f t="shared" ref="E83:F85" si="0">E84*SQRT(2)</f>
        <v>84.004285604961865</v>
      </c>
      <c r="F83" s="95">
        <f t="shared" si="0"/>
        <v>118.79393923934001</v>
      </c>
      <c r="G83" s="85" t="s">
        <v>212</v>
      </c>
      <c r="H83" s="87">
        <f>E83*F83</f>
        <v>9979.2000000000044</v>
      </c>
      <c r="I83" s="85" t="s">
        <v>215</v>
      </c>
    </row>
    <row r="84" spans="2:9">
      <c r="B84" s="87" t="s">
        <v>300</v>
      </c>
      <c r="C84" s="87"/>
      <c r="E84" s="96">
        <f t="shared" si="0"/>
        <v>59.400000000000006</v>
      </c>
      <c r="F84" s="96">
        <f t="shared" si="0"/>
        <v>84.000000000000014</v>
      </c>
      <c r="G84" s="85" t="s">
        <v>212</v>
      </c>
      <c r="H84" s="87">
        <f t="shared" ref="H84:H88" si="1">E84*F84</f>
        <v>4989.6000000000013</v>
      </c>
      <c r="I84" s="85" t="s">
        <v>215</v>
      </c>
    </row>
    <row r="85" spans="2:9">
      <c r="B85" s="87" t="s">
        <v>301</v>
      </c>
      <c r="C85" s="87"/>
      <c r="E85" s="96">
        <f t="shared" si="0"/>
        <v>42.002142802480925</v>
      </c>
      <c r="F85" s="96">
        <f t="shared" si="0"/>
        <v>59.396969619669996</v>
      </c>
      <c r="G85" s="85" t="s">
        <v>212</v>
      </c>
      <c r="H85" s="87">
        <f t="shared" si="1"/>
        <v>2494.8000000000002</v>
      </c>
      <c r="I85" s="85" t="s">
        <v>215</v>
      </c>
    </row>
    <row r="86" spans="2:9">
      <c r="B86" s="87" t="s">
        <v>302</v>
      </c>
      <c r="C86" s="87"/>
      <c r="E86" s="97">
        <v>29.7</v>
      </c>
      <c r="F86" s="97">
        <v>42</v>
      </c>
      <c r="G86" s="85" t="s">
        <v>212</v>
      </c>
      <c r="H86" s="87">
        <f t="shared" si="1"/>
        <v>1247.3999999999999</v>
      </c>
      <c r="I86" s="85" t="s">
        <v>215</v>
      </c>
    </row>
    <row r="87" spans="2:9">
      <c r="B87" s="87" t="s">
        <v>303</v>
      </c>
      <c r="C87" s="87"/>
      <c r="E87" s="97">
        <v>21</v>
      </c>
      <c r="F87" s="97">
        <v>29.7</v>
      </c>
      <c r="G87" s="85" t="s">
        <v>212</v>
      </c>
      <c r="H87" s="87">
        <f t="shared" si="1"/>
        <v>623.69999999999993</v>
      </c>
      <c r="I87" s="85" t="s">
        <v>215</v>
      </c>
    </row>
    <row r="88" spans="2:9">
      <c r="B88" s="87" t="s">
        <v>304</v>
      </c>
      <c r="C88" s="87"/>
      <c r="E88" s="97">
        <v>14.8</v>
      </c>
      <c r="F88" s="97">
        <v>21</v>
      </c>
      <c r="G88" s="85" t="s">
        <v>212</v>
      </c>
      <c r="H88" s="87">
        <f t="shared" si="1"/>
        <v>310.8</v>
      </c>
      <c r="I88" s="85" t="s">
        <v>215</v>
      </c>
    </row>
    <row r="89" spans="2:9">
      <c r="B89" s="87"/>
      <c r="C89" s="87"/>
      <c r="E89" s="97"/>
      <c r="F89" s="97"/>
    </row>
    <row r="90" spans="2:9">
      <c r="B90" s="98" t="s">
        <v>305</v>
      </c>
      <c r="C90" s="87"/>
      <c r="E90" s="97"/>
      <c r="F90" s="97"/>
    </row>
    <row r="91" spans="2:9">
      <c r="B91" s="98" t="s">
        <v>306</v>
      </c>
    </row>
    <row r="92" spans="2:9" ht="15.75" thickBot="1">
      <c r="B92" s="92"/>
    </row>
    <row r="93" spans="2:9">
      <c r="B93" s="99"/>
      <c r="C93" s="100"/>
      <c r="D93" s="101"/>
    </row>
    <row r="94" spans="2:9">
      <c r="B94" s="102" t="s">
        <v>307</v>
      </c>
      <c r="C94" s="103"/>
      <c r="D94" s="104"/>
    </row>
    <row r="95" spans="2:9">
      <c r="B95" s="102" t="s">
        <v>224</v>
      </c>
      <c r="C95" s="105">
        <v>1</v>
      </c>
      <c r="D95" s="104"/>
      <c r="E95" s="85" t="s">
        <v>308</v>
      </c>
      <c r="F95" s="85" t="s">
        <v>93</v>
      </c>
      <c r="G95" s="85" t="s">
        <v>309</v>
      </c>
    </row>
    <row r="96" spans="2:9">
      <c r="B96" s="102" t="s">
        <v>225</v>
      </c>
      <c r="C96" s="106">
        <f>SQRT(2)</f>
        <v>1.4142135623730951</v>
      </c>
      <c r="D96" s="104"/>
      <c r="F96" s="85" t="s">
        <v>93</v>
      </c>
      <c r="G96" s="85" t="s">
        <v>310</v>
      </c>
    </row>
    <row r="97" spans="2:11">
      <c r="B97" s="102"/>
      <c r="C97" s="107"/>
      <c r="D97" s="104"/>
    </row>
    <row r="98" spans="2:11">
      <c r="B98" s="102" t="s">
        <v>298</v>
      </c>
      <c r="C98" s="105">
        <v>10000</v>
      </c>
      <c r="D98" s="104" t="s">
        <v>215</v>
      </c>
      <c r="E98" s="85" t="s">
        <v>311</v>
      </c>
      <c r="F98" s="85" t="s">
        <v>93</v>
      </c>
      <c r="G98" s="85" t="s">
        <v>312</v>
      </c>
      <c r="H98" s="85" t="s">
        <v>93</v>
      </c>
      <c r="I98" s="85" t="s">
        <v>313</v>
      </c>
      <c r="K98" s="85" t="s">
        <v>314</v>
      </c>
    </row>
    <row r="99" spans="2:11">
      <c r="B99" s="102"/>
      <c r="C99" s="107"/>
      <c r="D99" s="104"/>
      <c r="H99" s="85" t="s">
        <v>93</v>
      </c>
      <c r="I99" s="85" t="s">
        <v>315</v>
      </c>
      <c r="K99" s="85" t="s">
        <v>316</v>
      </c>
    </row>
    <row r="100" spans="2:11">
      <c r="B100" s="102" t="s">
        <v>317</v>
      </c>
      <c r="C100" s="108">
        <f>SQRT(C98/C96)</f>
        <v>84.089641525371448</v>
      </c>
      <c r="D100" s="104" t="s">
        <v>212</v>
      </c>
      <c r="E100" s="85" t="s">
        <v>316</v>
      </c>
    </row>
    <row r="101" spans="2:11">
      <c r="B101" s="102" t="s">
        <v>318</v>
      </c>
      <c r="C101" s="108">
        <f>SQRT(C96*C98)</f>
        <v>118.92071150027212</v>
      </c>
      <c r="D101" s="104" t="s">
        <v>212</v>
      </c>
      <c r="E101" s="85" t="s">
        <v>314</v>
      </c>
    </row>
    <row r="102" spans="2:11">
      <c r="B102" s="109"/>
      <c r="C102" s="107"/>
      <c r="D102" s="104"/>
    </row>
    <row r="103" spans="2:11">
      <c r="B103" s="102" t="s">
        <v>298</v>
      </c>
      <c r="C103" s="103">
        <f>C100*C101</f>
        <v>10000</v>
      </c>
      <c r="D103" s="104" t="s">
        <v>215</v>
      </c>
    </row>
    <row r="104" spans="2:11" ht="15.75" thickBot="1">
      <c r="B104" s="110"/>
      <c r="C104" s="111"/>
      <c r="D104" s="112"/>
    </row>
    <row r="106" spans="2:11">
      <c r="B106" s="91"/>
    </row>
    <row r="109" spans="2:11">
      <c r="B109" s="90" t="s">
        <v>319</v>
      </c>
    </row>
    <row r="110" spans="2:11">
      <c r="B110" s="90" t="s">
        <v>320</v>
      </c>
    </row>
    <row r="112" spans="2:11">
      <c r="B112" s="91" t="s">
        <v>321</v>
      </c>
      <c r="C112" s="113">
        <v>10.5</v>
      </c>
      <c r="D112" s="85" t="s">
        <v>212</v>
      </c>
      <c r="E112" s="91" t="s">
        <v>321</v>
      </c>
      <c r="F112" s="114">
        <f>C113</f>
        <v>14.8</v>
      </c>
      <c r="G112" s="85" t="s">
        <v>212</v>
      </c>
    </row>
    <row r="113" spans="2:7">
      <c r="B113" s="91" t="s">
        <v>322</v>
      </c>
      <c r="C113" s="113">
        <v>14.8</v>
      </c>
      <c r="D113" s="85" t="s">
        <v>212</v>
      </c>
      <c r="E113" s="91" t="s">
        <v>322</v>
      </c>
      <c r="F113" s="114">
        <f>C112</f>
        <v>10.5</v>
      </c>
      <c r="G113" s="85" t="s">
        <v>212</v>
      </c>
    </row>
    <row r="114" spans="2:7">
      <c r="B114" s="91"/>
      <c r="E114" s="91"/>
    </row>
    <row r="115" spans="2:7">
      <c r="B115" s="91" t="s">
        <v>323</v>
      </c>
      <c r="C115" s="113">
        <v>80</v>
      </c>
      <c r="D115" s="85" t="s">
        <v>212</v>
      </c>
      <c r="E115" s="91" t="s">
        <v>323</v>
      </c>
      <c r="F115" s="114">
        <f>C115</f>
        <v>80</v>
      </c>
      <c r="G115" s="85" t="s">
        <v>212</v>
      </c>
    </row>
    <row r="116" spans="2:7">
      <c r="B116" s="91" t="s">
        <v>324</v>
      </c>
      <c r="C116" s="113">
        <v>100</v>
      </c>
      <c r="D116" s="85" t="s">
        <v>212</v>
      </c>
      <c r="E116" s="91" t="s">
        <v>324</v>
      </c>
      <c r="F116" s="114">
        <f>C116</f>
        <v>100</v>
      </c>
      <c r="G116" s="85" t="s">
        <v>212</v>
      </c>
    </row>
    <row r="117" spans="2:7">
      <c r="B117" s="91"/>
      <c r="E117" s="91"/>
      <c r="F117" s="114"/>
    </row>
    <row r="118" spans="2:7">
      <c r="B118" s="91" t="s">
        <v>325</v>
      </c>
      <c r="C118" s="113">
        <v>140</v>
      </c>
      <c r="D118" s="85" t="s">
        <v>326</v>
      </c>
      <c r="E118" s="91" t="s">
        <v>325</v>
      </c>
      <c r="F118" s="114">
        <f>C118</f>
        <v>140</v>
      </c>
      <c r="G118" s="85" t="s">
        <v>326</v>
      </c>
    </row>
    <row r="120" spans="2:7">
      <c r="B120" s="85" t="s">
        <v>327</v>
      </c>
      <c r="E120" s="85" t="s">
        <v>328</v>
      </c>
    </row>
    <row r="122" spans="2:7">
      <c r="B122" s="91" t="s">
        <v>329</v>
      </c>
      <c r="C122" s="89">
        <f>C115/C112</f>
        <v>7.6190476190476186</v>
      </c>
      <c r="D122" s="85" t="s">
        <v>326</v>
      </c>
      <c r="F122" s="89">
        <f>F115/F112</f>
        <v>5.4054054054054053</v>
      </c>
      <c r="G122" s="85" t="s">
        <v>326</v>
      </c>
    </row>
    <row r="123" spans="2:7">
      <c r="B123" s="91" t="s">
        <v>330</v>
      </c>
      <c r="C123" s="89">
        <f>ROUNDDOWN(C122,0)</f>
        <v>7</v>
      </c>
      <c r="D123" s="85" t="s">
        <v>326</v>
      </c>
      <c r="F123" s="89">
        <f>ROUNDDOWN(F122,0)</f>
        <v>5</v>
      </c>
      <c r="G123" s="85" t="s">
        <v>326</v>
      </c>
    </row>
    <row r="124" spans="2:7">
      <c r="B124" s="91" t="s">
        <v>331</v>
      </c>
      <c r="C124" s="89">
        <f>C116/C113</f>
        <v>6.7567567567567561</v>
      </c>
      <c r="D124" s="85" t="s">
        <v>326</v>
      </c>
      <c r="F124" s="89">
        <f>F116/F113</f>
        <v>9.5238095238095237</v>
      </c>
      <c r="G124" s="85" t="s">
        <v>326</v>
      </c>
    </row>
    <row r="125" spans="2:7">
      <c r="B125" s="91" t="s">
        <v>330</v>
      </c>
      <c r="C125" s="89">
        <f>ROUNDDOWN(C124,0)</f>
        <v>6</v>
      </c>
      <c r="D125" s="85" t="s">
        <v>326</v>
      </c>
      <c r="F125" s="89">
        <f>ROUNDDOWN(F124,0)</f>
        <v>9</v>
      </c>
      <c r="G125" s="85" t="s">
        <v>326</v>
      </c>
    </row>
    <row r="126" spans="2:7">
      <c r="B126" s="91" t="s">
        <v>332</v>
      </c>
      <c r="C126" s="89">
        <f>C123*C125</f>
        <v>42</v>
      </c>
      <c r="D126" s="85" t="s">
        <v>326</v>
      </c>
      <c r="F126" s="89">
        <f>F123*F125</f>
        <v>45</v>
      </c>
      <c r="G126" s="85" t="s">
        <v>326</v>
      </c>
    </row>
    <row r="127" spans="2:7">
      <c r="B127" s="91"/>
      <c r="C127" s="89"/>
      <c r="F127" s="89"/>
    </row>
    <row r="128" spans="2:7">
      <c r="B128" s="91" t="s">
        <v>333</v>
      </c>
      <c r="C128" s="89">
        <f>C115-C112*C123</f>
        <v>6.5</v>
      </c>
      <c r="D128" s="85" t="s">
        <v>212</v>
      </c>
      <c r="F128" s="89">
        <f>F115-F112*F123</f>
        <v>6</v>
      </c>
      <c r="G128" s="85" t="s">
        <v>212</v>
      </c>
    </row>
    <row r="129" spans="2:7">
      <c r="B129" s="91" t="s">
        <v>334</v>
      </c>
      <c r="C129" s="89">
        <f>C116</f>
        <v>100</v>
      </c>
      <c r="D129" s="85" t="s">
        <v>212</v>
      </c>
      <c r="F129" s="89">
        <f>F116</f>
        <v>100</v>
      </c>
      <c r="G129" s="85" t="s">
        <v>212</v>
      </c>
    </row>
    <row r="130" spans="2:7">
      <c r="B130" s="91" t="s">
        <v>335</v>
      </c>
      <c r="C130" s="85">
        <f>C128*C129</f>
        <v>650</v>
      </c>
      <c r="D130" s="85" t="s">
        <v>215</v>
      </c>
      <c r="F130" s="85">
        <f>F128*F129</f>
        <v>600</v>
      </c>
      <c r="G130" s="85" t="s">
        <v>215</v>
      </c>
    </row>
    <row r="132" spans="2:7">
      <c r="B132" s="91" t="s">
        <v>336</v>
      </c>
      <c r="C132" s="85">
        <f>C115</f>
        <v>80</v>
      </c>
      <c r="D132" s="85" t="s">
        <v>212</v>
      </c>
      <c r="F132" s="85">
        <f>F115</f>
        <v>80</v>
      </c>
      <c r="G132" s="85" t="s">
        <v>212</v>
      </c>
    </row>
    <row r="133" spans="2:7">
      <c r="B133" s="91" t="s">
        <v>337</v>
      </c>
      <c r="C133" s="85">
        <f>C116-C125*C113</f>
        <v>11.199999999999989</v>
      </c>
      <c r="D133" s="85" t="s">
        <v>212</v>
      </c>
      <c r="F133" s="85">
        <f>F116-F125*F113</f>
        <v>5.5</v>
      </c>
      <c r="G133" s="85" t="s">
        <v>212</v>
      </c>
    </row>
    <row r="134" spans="2:7">
      <c r="B134" s="91" t="s">
        <v>338</v>
      </c>
      <c r="C134" s="85">
        <f>C132*C133</f>
        <v>895.99999999999909</v>
      </c>
      <c r="D134" s="85" t="s">
        <v>215</v>
      </c>
      <c r="F134" s="85">
        <f>F132*F133</f>
        <v>440</v>
      </c>
      <c r="G134" s="85" t="s">
        <v>215</v>
      </c>
    </row>
    <row r="136" spans="2:7">
      <c r="B136" s="91" t="s">
        <v>339</v>
      </c>
      <c r="C136" s="85">
        <f>C128*C133</f>
        <v>72.799999999999926</v>
      </c>
      <c r="D136" s="85" t="s">
        <v>215</v>
      </c>
      <c r="F136" s="85">
        <f>F128*F133</f>
        <v>33</v>
      </c>
      <c r="G136" s="85" t="s">
        <v>215</v>
      </c>
    </row>
    <row r="138" spans="2:7">
      <c r="B138" s="91" t="s">
        <v>340</v>
      </c>
      <c r="C138" s="85">
        <f>C130+C134-C136</f>
        <v>1473.1999999999991</v>
      </c>
      <c r="D138" s="85" t="s">
        <v>215</v>
      </c>
      <c r="F138" s="85">
        <f>F130+F134-F136</f>
        <v>1007</v>
      </c>
      <c r="G138" s="85" t="s">
        <v>215</v>
      </c>
    </row>
    <row r="139" spans="2:7">
      <c r="B139" s="91" t="s">
        <v>341</v>
      </c>
      <c r="C139" s="85">
        <f>C115*C116</f>
        <v>8000</v>
      </c>
      <c r="D139" s="85" t="s">
        <v>215</v>
      </c>
      <c r="F139" s="85">
        <f>F115*F116</f>
        <v>8000</v>
      </c>
      <c r="G139" s="85" t="s">
        <v>215</v>
      </c>
    </row>
    <row r="140" spans="2:7">
      <c r="B140" s="91"/>
    </row>
    <row r="141" spans="2:7">
      <c r="B141" s="91" t="s">
        <v>342</v>
      </c>
      <c r="C141" s="115">
        <f>C138/C139</f>
        <v>0.1841499999999999</v>
      </c>
      <c r="F141" s="115">
        <f>F138/F139</f>
        <v>0.12587499999999999</v>
      </c>
    </row>
    <row r="142" spans="2:7">
      <c r="B142" s="91"/>
    </row>
    <row r="145" spans="2:7">
      <c r="B145" s="116" t="s">
        <v>264</v>
      </c>
      <c r="C145"/>
      <c r="D145"/>
      <c r="E145"/>
      <c r="F145"/>
      <c r="G145"/>
    </row>
    <row r="146" spans="2:7">
      <c r="B146" s="116" t="s">
        <v>265</v>
      </c>
      <c r="C146"/>
      <c r="D146"/>
      <c r="E146"/>
      <c r="F146"/>
      <c r="G146"/>
    </row>
    <row r="147" spans="2:7">
      <c r="B147"/>
      <c r="C147"/>
      <c r="D147"/>
      <c r="E147"/>
      <c r="F147"/>
      <c r="G147"/>
    </row>
    <row r="148" spans="2:7">
      <c r="B148"/>
      <c r="C148"/>
      <c r="D148"/>
      <c r="E148"/>
      <c r="F148"/>
      <c r="G148"/>
    </row>
    <row r="149" spans="2:7">
      <c r="B149" t="s">
        <v>343</v>
      </c>
      <c r="C149" s="117">
        <v>8</v>
      </c>
      <c r="D149" t="s">
        <v>344</v>
      </c>
      <c r="E149"/>
      <c r="F149"/>
      <c r="G149"/>
    </row>
    <row r="150" spans="2:7">
      <c r="B150" t="s">
        <v>345</v>
      </c>
      <c r="C150" s="117">
        <v>11</v>
      </c>
      <c r="D150" t="s">
        <v>344</v>
      </c>
      <c r="E150"/>
      <c r="F150"/>
      <c r="G150"/>
    </row>
    <row r="151" spans="2:7">
      <c r="B151"/>
      <c r="C151"/>
      <c r="D151"/>
      <c r="E151"/>
      <c r="F151"/>
      <c r="G151"/>
    </row>
    <row r="152" spans="2:7">
      <c r="B152" t="s">
        <v>346</v>
      </c>
      <c r="C152" s="117">
        <v>90</v>
      </c>
      <c r="D152" t="s">
        <v>344</v>
      </c>
      <c r="E152"/>
      <c r="F152"/>
      <c r="G152"/>
    </row>
    <row r="153" spans="2:7">
      <c r="B153" t="s">
        <v>347</v>
      </c>
      <c r="C153" s="117">
        <v>130</v>
      </c>
      <c r="D153" t="s">
        <v>344</v>
      </c>
      <c r="E153"/>
      <c r="F153"/>
      <c r="G153"/>
    </row>
    <row r="154" spans="2:7">
      <c r="B154"/>
      <c r="C154"/>
      <c r="D154"/>
      <c r="E154"/>
      <c r="F154"/>
      <c r="G154"/>
    </row>
    <row r="155" spans="2:7">
      <c r="B155" t="s">
        <v>307</v>
      </c>
      <c r="C155"/>
      <c r="D155"/>
      <c r="E155"/>
      <c r="F155"/>
      <c r="G155"/>
    </row>
    <row r="156" spans="2:7">
      <c r="B156" t="s">
        <v>348</v>
      </c>
      <c r="C156">
        <f>C150/C149</f>
        <v>1.375</v>
      </c>
      <c r="D156"/>
      <c r="E156"/>
      <c r="F156"/>
      <c r="G156"/>
    </row>
    <row r="157" spans="2:7">
      <c r="B157" t="s">
        <v>349</v>
      </c>
      <c r="C157" s="58">
        <f>C153/C152</f>
        <v>1.4444444444444444</v>
      </c>
      <c r="D157"/>
      <c r="E157"/>
      <c r="F157"/>
      <c r="G157"/>
    </row>
    <row r="158" spans="2:7">
      <c r="B158"/>
      <c r="C158"/>
      <c r="D158"/>
      <c r="E158"/>
      <c r="F158"/>
      <c r="G158"/>
    </row>
    <row r="159" spans="2:7">
      <c r="B159" t="s">
        <v>350</v>
      </c>
      <c r="C159" s="58">
        <f>C153/C150</f>
        <v>11.818181818181818</v>
      </c>
      <c r="D159"/>
      <c r="E159"/>
      <c r="F159"/>
      <c r="G159"/>
    </row>
    <row r="160" spans="2:7">
      <c r="B160" t="s">
        <v>351</v>
      </c>
      <c r="C160" s="58">
        <f>C159*C149</f>
        <v>94.545454545454547</v>
      </c>
      <c r="D160" t="s">
        <v>344</v>
      </c>
      <c r="E160"/>
      <c r="F160"/>
      <c r="G160"/>
    </row>
    <row r="161" spans="2:7">
      <c r="B161" t="s">
        <v>352</v>
      </c>
      <c r="C161">
        <f>C153</f>
        <v>130</v>
      </c>
      <c r="D161" t="s">
        <v>344</v>
      </c>
      <c r="E161"/>
      <c r="F161"/>
      <c r="G161"/>
    </row>
    <row r="162" spans="2:7">
      <c r="B162"/>
      <c r="C162"/>
      <c r="D162"/>
      <c r="E162"/>
      <c r="F162"/>
      <c r="G162"/>
    </row>
    <row r="163" spans="2:7">
      <c r="B163" t="s">
        <v>353</v>
      </c>
      <c r="C163" s="58">
        <f>C152/C149</f>
        <v>11.25</v>
      </c>
      <c r="D163"/>
      <c r="E163"/>
      <c r="F163"/>
      <c r="G163"/>
    </row>
    <row r="164" spans="2:7">
      <c r="B164" t="s">
        <v>351</v>
      </c>
      <c r="C164" s="58">
        <f>C149*C163</f>
        <v>90</v>
      </c>
      <c r="D164" t="s">
        <v>344</v>
      </c>
      <c r="E164"/>
      <c r="F164"/>
      <c r="G164"/>
    </row>
    <row r="165" spans="2:7">
      <c r="B165" t="s">
        <v>352</v>
      </c>
      <c r="C165" s="58">
        <f>C150*C163</f>
        <v>123.75</v>
      </c>
      <c r="D165" t="s">
        <v>344</v>
      </c>
      <c r="E165"/>
      <c r="F165"/>
      <c r="G165"/>
    </row>
    <row r="166" spans="2:7">
      <c r="B166" t="s">
        <v>354</v>
      </c>
      <c r="C166">
        <f>C164*C165</f>
        <v>11137.5</v>
      </c>
      <c r="D166" t="s">
        <v>355</v>
      </c>
      <c r="E166"/>
      <c r="F166"/>
      <c r="G166"/>
    </row>
    <row r="167" spans="2:7">
      <c r="B167"/>
      <c r="C167"/>
      <c r="D167"/>
      <c r="E167"/>
      <c r="F167"/>
      <c r="G167"/>
    </row>
    <row r="168" spans="2:7">
      <c r="B168" t="s">
        <v>356</v>
      </c>
      <c r="C168" s="118">
        <f>C152*C153</f>
        <v>11700</v>
      </c>
      <c r="D168" t="s">
        <v>355</v>
      </c>
      <c r="E168"/>
      <c r="F168"/>
      <c r="G168"/>
    </row>
    <row r="169" spans="2:7">
      <c r="B169"/>
      <c r="C169"/>
      <c r="D169"/>
      <c r="E169"/>
      <c r="F169"/>
      <c r="G169"/>
    </row>
    <row r="170" spans="2:7">
      <c r="B170" t="s">
        <v>357</v>
      </c>
      <c r="C170" s="118">
        <f>C168-C166</f>
        <v>562.5</v>
      </c>
      <c r="D170" t="s">
        <v>355</v>
      </c>
      <c r="E170"/>
      <c r="F170"/>
      <c r="G170"/>
    </row>
    <row r="171" spans="2:7">
      <c r="B171" t="s">
        <v>358</v>
      </c>
      <c r="C171" s="119">
        <f>C170/C168</f>
        <v>4.807692307692308E-2</v>
      </c>
      <c r="D171"/>
      <c r="E171"/>
      <c r="F171"/>
      <c r="G171"/>
    </row>
    <row r="172" spans="2:7">
      <c r="B172"/>
      <c r="C172"/>
      <c r="D172"/>
      <c r="E172"/>
      <c r="F172"/>
      <c r="G172"/>
    </row>
    <row r="177" spans="1:15">
      <c r="A177" s="1"/>
      <c r="B177" s="1"/>
      <c r="C177" s="1"/>
      <c r="D177" s="1"/>
      <c r="E177" s="1"/>
      <c r="F177" s="1"/>
      <c r="G177" s="1"/>
      <c r="H177" s="1"/>
      <c r="I177" s="1"/>
      <c r="J177" s="1"/>
      <c r="K177" s="1"/>
      <c r="L177" s="1"/>
      <c r="M177" s="1"/>
      <c r="N177" s="1"/>
      <c r="O177" s="1"/>
    </row>
    <row r="178" spans="1:15">
      <c r="A178" s="1"/>
      <c r="B178" s="1" t="s">
        <v>359</v>
      </c>
      <c r="C178" s="1"/>
      <c r="D178" s="1"/>
      <c r="E178" s="1"/>
      <c r="F178" s="1"/>
      <c r="G178" s="1"/>
      <c r="H178" s="1"/>
      <c r="I178" s="1"/>
      <c r="J178" s="1"/>
      <c r="K178" s="1"/>
      <c r="L178" s="1"/>
      <c r="M178" s="1"/>
      <c r="N178" s="1"/>
      <c r="O178" s="1"/>
    </row>
    <row r="179" spans="1:15">
      <c r="A179" s="1"/>
      <c r="B179" s="1" t="s">
        <v>360</v>
      </c>
      <c r="C179" s="1"/>
      <c r="D179" s="1"/>
      <c r="E179" s="1"/>
      <c r="F179" s="1"/>
      <c r="G179" s="1"/>
      <c r="H179" s="1"/>
      <c r="I179" s="1"/>
      <c r="J179" s="1"/>
      <c r="K179" s="1"/>
      <c r="L179" s="1"/>
      <c r="M179" s="1"/>
      <c r="N179" s="1"/>
      <c r="O179" s="1"/>
    </row>
    <row r="180" spans="1:15">
      <c r="A180" s="1"/>
      <c r="B180" s="1" t="s">
        <v>361</v>
      </c>
      <c r="C180" s="1"/>
      <c r="D180" s="1"/>
      <c r="E180" s="1"/>
      <c r="F180" s="1"/>
      <c r="G180" s="1"/>
      <c r="H180" s="1"/>
      <c r="I180" s="1"/>
      <c r="J180" s="1"/>
      <c r="K180" s="1"/>
      <c r="L180" s="1"/>
      <c r="M180" s="1"/>
      <c r="N180" s="1"/>
      <c r="O180" s="1"/>
    </row>
    <row r="181" spans="1:15">
      <c r="A181" s="1"/>
      <c r="B181" s="1"/>
      <c r="C181" s="1"/>
      <c r="D181" s="1"/>
      <c r="E181" s="1"/>
      <c r="F181" s="1"/>
      <c r="G181" s="1"/>
      <c r="H181" s="1"/>
      <c r="I181" s="1"/>
      <c r="J181" s="1"/>
      <c r="K181" s="1"/>
      <c r="L181" s="1"/>
      <c r="M181" s="1"/>
      <c r="N181" s="1"/>
      <c r="O181" s="1"/>
    </row>
    <row r="182" spans="1:15">
      <c r="A182" s="1"/>
      <c r="B182" s="1" t="s">
        <v>362</v>
      </c>
      <c r="C182" s="1"/>
      <c r="D182" s="1"/>
      <c r="E182" s="1"/>
      <c r="F182" s="1"/>
      <c r="G182" s="1"/>
      <c r="H182" s="1"/>
      <c r="I182" s="1"/>
      <c r="J182" s="1"/>
      <c r="K182" s="1"/>
      <c r="L182" s="1"/>
      <c r="M182" s="1"/>
      <c r="N182" s="1"/>
      <c r="O182" s="1"/>
    </row>
    <row r="183" spans="1:15">
      <c r="A183" s="1"/>
      <c r="B183" s="1" t="s">
        <v>363</v>
      </c>
      <c r="C183" s="1"/>
      <c r="D183" s="1"/>
      <c r="E183" s="1"/>
      <c r="F183" s="1"/>
      <c r="G183" s="1"/>
      <c r="H183" s="1"/>
      <c r="I183" s="1"/>
      <c r="J183" s="1"/>
      <c r="K183" s="1"/>
      <c r="L183" s="1"/>
      <c r="M183" s="1"/>
      <c r="N183" s="1"/>
      <c r="O183" s="1"/>
    </row>
    <row r="184" spans="1:15">
      <c r="A184" s="1"/>
      <c r="B184" s="1" t="s">
        <v>364</v>
      </c>
      <c r="C184" s="1"/>
      <c r="D184" s="1"/>
      <c r="E184" s="1"/>
      <c r="F184" s="1"/>
      <c r="G184" s="1"/>
      <c r="H184" s="1"/>
      <c r="I184" s="1"/>
      <c r="J184" s="1"/>
      <c r="K184" s="1"/>
      <c r="L184" s="1"/>
      <c r="M184" s="1"/>
      <c r="N184" s="1"/>
      <c r="O184" s="1"/>
    </row>
    <row r="185" spans="1:15">
      <c r="A185" s="1"/>
      <c r="B185" s="1"/>
      <c r="C185" s="1"/>
      <c r="D185" s="1"/>
      <c r="E185" s="1"/>
      <c r="F185" s="1"/>
      <c r="G185" s="1"/>
      <c r="H185" s="1"/>
      <c r="I185" s="1"/>
      <c r="J185" s="1"/>
      <c r="K185" s="1"/>
      <c r="L185" s="1"/>
      <c r="M185" s="1"/>
      <c r="N185" s="1"/>
      <c r="O185" s="1"/>
    </row>
    <row r="186" spans="1:15">
      <c r="A186" s="1"/>
      <c r="B186" s="1"/>
      <c r="C186" s="1"/>
      <c r="D186" s="1"/>
      <c r="E186" s="1"/>
      <c r="F186" s="1"/>
      <c r="G186" s="1"/>
      <c r="H186" s="1"/>
      <c r="I186" s="1"/>
      <c r="J186" s="1"/>
      <c r="K186" s="1"/>
      <c r="L186" s="1"/>
      <c r="M186" s="1"/>
      <c r="N186" s="1"/>
      <c r="O186" s="1"/>
    </row>
    <row r="187" spans="1:15">
      <c r="A187" s="1"/>
      <c r="B187" s="1"/>
      <c r="C187" s="1"/>
      <c r="D187" s="1"/>
      <c r="E187" s="1"/>
      <c r="F187" s="1"/>
      <c r="G187" s="1"/>
      <c r="H187" s="1"/>
      <c r="I187" s="1"/>
      <c r="J187" s="1"/>
      <c r="K187" s="1"/>
      <c r="L187" s="1"/>
      <c r="M187" s="1"/>
      <c r="N187" s="1"/>
      <c r="O187" s="1"/>
    </row>
    <row r="188" spans="1:15">
      <c r="A188" s="1"/>
      <c r="B188" s="1"/>
      <c r="C188" s="1"/>
      <c r="D188" s="1"/>
      <c r="E188" s="1"/>
      <c r="F188" s="1"/>
      <c r="G188" s="1"/>
      <c r="H188" s="1"/>
      <c r="I188" s="1"/>
      <c r="J188" s="1"/>
      <c r="K188" s="1"/>
      <c r="L188" s="1"/>
      <c r="M188" s="1"/>
      <c r="N188" s="1"/>
      <c r="O188" s="1"/>
    </row>
    <row r="189" spans="1:15">
      <c r="A189" s="1"/>
      <c r="B189" s="1"/>
      <c r="C189" s="1"/>
      <c r="D189" s="1"/>
      <c r="E189" s="1"/>
      <c r="F189" s="1"/>
      <c r="G189" s="1"/>
      <c r="H189" s="1"/>
      <c r="I189" s="1"/>
      <c r="J189" s="1"/>
      <c r="K189" s="1"/>
      <c r="L189" s="1"/>
      <c r="M189" s="1"/>
      <c r="N189" s="1"/>
      <c r="O189" s="1"/>
    </row>
    <row r="190" spans="1:15">
      <c r="A190" s="1"/>
      <c r="B190" s="1"/>
      <c r="C190" s="1"/>
      <c r="D190" s="1"/>
      <c r="E190" s="1"/>
      <c r="F190" s="1"/>
      <c r="G190" s="1"/>
      <c r="H190" s="1"/>
      <c r="I190" s="1"/>
      <c r="J190" s="1"/>
      <c r="K190" s="1"/>
      <c r="L190" s="1"/>
      <c r="M190" s="1"/>
      <c r="N190" s="1"/>
      <c r="O190" s="1"/>
    </row>
    <row r="191" spans="1:15">
      <c r="A191" s="1"/>
      <c r="B191" s="1"/>
      <c r="C191" s="1"/>
      <c r="D191" s="1"/>
      <c r="E191" s="1"/>
      <c r="F191" s="1"/>
      <c r="G191" s="1"/>
      <c r="H191" s="1"/>
      <c r="I191" s="1"/>
      <c r="J191" s="1"/>
      <c r="K191" s="1"/>
      <c r="L191" s="1"/>
      <c r="M191" s="1"/>
      <c r="N191" s="1"/>
      <c r="O191" s="1"/>
    </row>
    <row r="192" spans="1:15">
      <c r="A192" s="1"/>
      <c r="B192" s="1"/>
      <c r="C192" s="1"/>
      <c r="D192" s="1"/>
      <c r="E192" s="1"/>
      <c r="F192" s="1"/>
      <c r="G192" s="1"/>
      <c r="H192" s="1"/>
      <c r="I192" s="1"/>
      <c r="J192" s="1"/>
      <c r="K192" s="1"/>
      <c r="L192" s="1"/>
      <c r="M192" s="1"/>
      <c r="N192" s="1"/>
      <c r="O192" s="1"/>
    </row>
    <row r="193" spans="1:15">
      <c r="A193" s="1"/>
      <c r="B193" s="1"/>
      <c r="C193" s="1"/>
      <c r="D193" s="1"/>
      <c r="E193" s="1"/>
      <c r="F193" s="1"/>
      <c r="G193" s="1"/>
      <c r="H193" s="1"/>
      <c r="I193" s="1"/>
      <c r="J193" s="1"/>
      <c r="K193" s="1"/>
      <c r="L193" s="1"/>
      <c r="M193" s="1"/>
      <c r="N193" s="1"/>
      <c r="O193" s="1"/>
    </row>
    <row r="194" spans="1:15">
      <c r="A194" s="1"/>
      <c r="B194" s="1"/>
      <c r="C194" s="1"/>
      <c r="D194" s="1"/>
      <c r="E194" s="1"/>
      <c r="F194" s="1"/>
      <c r="G194" s="1"/>
      <c r="H194" s="1"/>
      <c r="I194" s="1"/>
      <c r="J194" s="1"/>
      <c r="K194" s="1"/>
      <c r="L194" s="1"/>
      <c r="M194" s="1"/>
      <c r="N194" s="1"/>
      <c r="O194" s="1"/>
    </row>
    <row r="195" spans="1:15">
      <c r="A195" s="1"/>
      <c r="B195" s="1"/>
      <c r="C195" s="1"/>
      <c r="D195" s="1"/>
      <c r="E195" s="1"/>
      <c r="F195" s="1"/>
      <c r="G195" s="1"/>
      <c r="H195" s="1"/>
      <c r="I195" s="1"/>
      <c r="J195" s="1"/>
      <c r="K195" s="1"/>
      <c r="L195" s="1"/>
      <c r="M195" s="1"/>
      <c r="N195" s="1"/>
      <c r="O195" s="1"/>
    </row>
    <row r="196" spans="1:15">
      <c r="A196" s="1"/>
      <c r="B196" s="1"/>
      <c r="C196" s="1"/>
      <c r="D196" s="1"/>
      <c r="E196" s="1"/>
      <c r="F196" s="1"/>
      <c r="G196" s="1"/>
      <c r="H196" s="1"/>
      <c r="I196" s="1"/>
      <c r="J196" s="1"/>
      <c r="K196" s="1"/>
      <c r="L196" s="1"/>
      <c r="M196" s="1"/>
      <c r="N196" s="1"/>
      <c r="O196" s="1"/>
    </row>
    <row r="197" spans="1:15">
      <c r="A197" s="1"/>
      <c r="B197" s="1"/>
      <c r="C197" s="1"/>
      <c r="D197" s="1"/>
      <c r="E197" s="1"/>
      <c r="F197" s="1"/>
      <c r="G197" s="1"/>
      <c r="H197" s="1"/>
      <c r="I197" s="1"/>
      <c r="J197" s="1"/>
      <c r="K197" s="1"/>
      <c r="L197" s="1"/>
      <c r="M197" s="1"/>
      <c r="N197" s="1"/>
      <c r="O197" s="1"/>
    </row>
    <row r="198" spans="1:15">
      <c r="A198" s="1"/>
      <c r="B198" s="1"/>
      <c r="C198" s="1"/>
      <c r="D198" s="1"/>
      <c r="E198" s="1"/>
      <c r="F198" s="1"/>
      <c r="G198" s="1"/>
      <c r="H198" s="1"/>
      <c r="I198" s="1"/>
      <c r="J198" s="1"/>
      <c r="K198" s="1"/>
      <c r="L198" s="1"/>
      <c r="M198" s="1"/>
      <c r="N198" s="1"/>
      <c r="O198" s="1"/>
    </row>
    <row r="199" spans="1:15">
      <c r="A199" s="1"/>
      <c r="B199" s="1"/>
      <c r="C199" s="1"/>
      <c r="D199" s="1"/>
      <c r="E199" s="1"/>
      <c r="F199" s="1"/>
      <c r="G199" s="1"/>
      <c r="H199" s="1"/>
      <c r="I199" s="1"/>
      <c r="J199" s="1"/>
      <c r="K199" s="1"/>
      <c r="L199" s="1"/>
      <c r="M199" s="1"/>
      <c r="N199" s="1"/>
      <c r="O199" s="1"/>
    </row>
    <row r="200" spans="1:15">
      <c r="A200" s="1"/>
      <c r="B200" s="1"/>
      <c r="C200" s="1"/>
      <c r="D200" s="1"/>
      <c r="E200" s="1"/>
      <c r="F200" s="1"/>
      <c r="G200" s="1"/>
      <c r="H200" s="1"/>
      <c r="I200" s="1"/>
      <c r="J200" s="1"/>
      <c r="K200" s="1"/>
      <c r="L200" s="1"/>
      <c r="M200" s="1"/>
      <c r="N200" s="1"/>
      <c r="O200" s="1"/>
    </row>
    <row r="201" spans="1:15">
      <c r="A201" s="1"/>
      <c r="B201" s="1"/>
      <c r="C201" s="1"/>
      <c r="D201" s="1"/>
      <c r="E201" s="1"/>
      <c r="F201" s="1"/>
      <c r="G201" s="1"/>
      <c r="H201" s="1"/>
      <c r="I201" s="1"/>
      <c r="J201" s="1"/>
      <c r="K201" s="1"/>
      <c r="L201" s="1"/>
      <c r="M201" s="1"/>
      <c r="N201" s="1"/>
      <c r="O201" s="1"/>
    </row>
    <row r="202" spans="1:15">
      <c r="A202" s="1"/>
      <c r="B202" s="1"/>
      <c r="C202" s="1"/>
      <c r="D202" s="1"/>
      <c r="E202" s="1"/>
      <c r="F202" s="1"/>
      <c r="G202" s="1"/>
      <c r="H202" s="1"/>
      <c r="I202" s="1"/>
      <c r="J202" s="1"/>
      <c r="K202" s="1"/>
      <c r="L202" s="1"/>
      <c r="M202" s="1"/>
      <c r="N202" s="1"/>
      <c r="O202" s="1"/>
    </row>
    <row r="203" spans="1:15">
      <c r="A203" s="1"/>
      <c r="B203" s="1"/>
      <c r="C203" s="1"/>
      <c r="D203" s="1"/>
      <c r="E203" s="1"/>
      <c r="F203" s="1"/>
      <c r="G203" s="1"/>
      <c r="H203" s="1"/>
      <c r="I203" s="1"/>
      <c r="J203" s="1"/>
      <c r="K203" s="1"/>
      <c r="L203" s="1"/>
      <c r="M203" s="1"/>
      <c r="N203" s="1"/>
      <c r="O203" s="1"/>
    </row>
    <row r="204" spans="1:15">
      <c r="A204" s="1"/>
      <c r="B204" s="1"/>
      <c r="C204" s="1"/>
      <c r="D204" s="1"/>
      <c r="E204" s="1"/>
      <c r="F204" s="1"/>
      <c r="G204" s="1"/>
      <c r="H204" s="1"/>
      <c r="I204" s="1"/>
      <c r="J204" s="1"/>
      <c r="K204" s="1"/>
      <c r="L204" s="1"/>
      <c r="M204" s="1"/>
      <c r="N204" s="1"/>
      <c r="O204" s="1"/>
    </row>
    <row r="205" spans="1:15">
      <c r="A205" s="1"/>
      <c r="B205" s="1"/>
      <c r="C205" s="1"/>
      <c r="D205" s="1"/>
      <c r="E205" s="1"/>
      <c r="F205" s="1"/>
      <c r="G205" s="1"/>
      <c r="H205" s="1"/>
      <c r="I205" s="1"/>
      <c r="J205" s="1"/>
      <c r="K205" s="1"/>
      <c r="L205" s="1"/>
      <c r="M205" s="1"/>
      <c r="N205" s="1"/>
      <c r="O205" s="1"/>
    </row>
    <row r="206" spans="1:15">
      <c r="A206" s="1"/>
      <c r="B206" s="1"/>
      <c r="C206" s="1"/>
      <c r="D206" s="1"/>
      <c r="E206" s="1"/>
      <c r="F206" s="1"/>
      <c r="G206" s="1"/>
      <c r="H206" s="1"/>
      <c r="I206" s="1"/>
      <c r="J206" s="1"/>
      <c r="K206" s="1"/>
      <c r="L206" s="1"/>
      <c r="M206" s="1"/>
      <c r="N206" s="1"/>
      <c r="O206" s="1"/>
    </row>
    <row r="207" spans="1:15">
      <c r="A207" s="1"/>
      <c r="B207" s="1"/>
      <c r="C207" s="1"/>
      <c r="D207" s="1"/>
      <c r="E207" s="1"/>
      <c r="F207" s="1"/>
      <c r="G207" s="1"/>
      <c r="H207" s="1"/>
      <c r="I207" s="1"/>
      <c r="J207" s="1"/>
      <c r="K207" s="1"/>
      <c r="L207" s="1"/>
      <c r="M207" s="1"/>
      <c r="N207" s="1"/>
      <c r="O207" s="1"/>
    </row>
    <row r="208" spans="1:15">
      <c r="A208" s="1"/>
      <c r="B208" s="1"/>
      <c r="C208" s="1"/>
      <c r="D208" s="1"/>
      <c r="E208" s="1"/>
      <c r="F208" s="1"/>
      <c r="G208" s="1"/>
      <c r="H208" s="1"/>
      <c r="I208" s="1"/>
      <c r="J208" s="1"/>
      <c r="K208" s="1"/>
      <c r="L208" s="1"/>
      <c r="M208" s="1"/>
      <c r="N208" s="1"/>
      <c r="O208" s="1"/>
    </row>
    <row r="209" spans="1:15">
      <c r="A209" s="1"/>
      <c r="B209" s="1"/>
      <c r="C209" s="1"/>
      <c r="D209" s="1"/>
      <c r="E209" s="1"/>
      <c r="F209" s="1"/>
      <c r="G209" s="1"/>
      <c r="H209" s="1"/>
      <c r="I209" s="1"/>
      <c r="J209" s="1"/>
      <c r="K209" s="1"/>
      <c r="L209" s="1"/>
      <c r="M209" s="1"/>
      <c r="N209" s="1"/>
      <c r="O209" s="1"/>
    </row>
    <row r="210" spans="1:15">
      <c r="A210" s="1"/>
      <c r="B210" s="1"/>
      <c r="C210" s="1"/>
      <c r="D210" s="1"/>
      <c r="E210" s="1"/>
      <c r="F210" s="1"/>
      <c r="G210" s="1"/>
      <c r="H210" s="1"/>
      <c r="I210" s="1"/>
      <c r="J210" s="1"/>
      <c r="K210" s="1"/>
      <c r="L210" s="1"/>
      <c r="M210" s="1"/>
      <c r="N210" s="1"/>
      <c r="O210" s="1"/>
    </row>
    <row r="211" spans="1:15">
      <c r="A211" s="1"/>
      <c r="B211" s="1"/>
      <c r="C211" s="1"/>
      <c r="D211" s="1"/>
      <c r="E211" s="1"/>
      <c r="F211" s="1"/>
      <c r="G211" s="1"/>
      <c r="H211" s="1"/>
      <c r="I211" s="1"/>
      <c r="J211" s="1"/>
      <c r="K211" s="1"/>
      <c r="L211" s="1"/>
      <c r="M211" s="1"/>
      <c r="N211" s="1"/>
      <c r="O211" s="1"/>
    </row>
    <row r="212" spans="1:15">
      <c r="A212" s="1"/>
      <c r="B212" s="1"/>
      <c r="C212" s="1"/>
      <c r="D212" s="1"/>
      <c r="E212" s="1"/>
      <c r="F212" s="1"/>
      <c r="G212" s="1"/>
      <c r="H212" s="1"/>
      <c r="I212" s="1"/>
      <c r="J212" s="1"/>
      <c r="K212" s="1"/>
      <c r="L212" s="1"/>
      <c r="M212" s="1"/>
      <c r="N212" s="1"/>
      <c r="O212" s="1"/>
    </row>
    <row r="213" spans="1:15">
      <c r="A213" s="1"/>
      <c r="B213" s="1"/>
      <c r="C213" s="1"/>
      <c r="D213" s="1"/>
      <c r="E213" s="1"/>
      <c r="F213" s="1"/>
      <c r="G213" s="1"/>
      <c r="H213" s="1"/>
      <c r="I213" s="1"/>
      <c r="J213" s="1"/>
      <c r="K213" s="1"/>
      <c r="L213" s="1"/>
      <c r="M213" s="1"/>
      <c r="N213" s="1"/>
      <c r="O213" s="1"/>
    </row>
    <row r="214" spans="1:15">
      <c r="A214" s="1"/>
      <c r="B214" s="1"/>
      <c r="C214" s="1"/>
      <c r="D214" s="1"/>
      <c r="E214" s="1"/>
      <c r="F214" s="1"/>
      <c r="G214" s="1"/>
      <c r="H214" s="1"/>
      <c r="I214" s="1"/>
      <c r="J214" s="1"/>
      <c r="K214" s="1"/>
      <c r="L214" s="1"/>
      <c r="M214" s="1"/>
      <c r="N214" s="1"/>
      <c r="O214" s="1"/>
    </row>
    <row r="215" spans="1:15">
      <c r="A215" s="1"/>
      <c r="B215" s="1"/>
      <c r="C215" s="1"/>
      <c r="D215" s="1"/>
      <c r="E215" s="1"/>
      <c r="F215" s="1"/>
      <c r="G215" s="1"/>
      <c r="H215" s="1"/>
      <c r="I215" s="1"/>
      <c r="J215" s="1"/>
      <c r="K215" s="1"/>
      <c r="L215" s="1"/>
      <c r="M215" s="1"/>
      <c r="N215" s="1"/>
      <c r="O215" s="1"/>
    </row>
    <row r="216" spans="1:15">
      <c r="A216" s="1"/>
      <c r="B216" s="1"/>
      <c r="C216" s="1"/>
      <c r="D216" s="1"/>
      <c r="E216" s="1"/>
      <c r="F216" s="1"/>
      <c r="G216" s="1"/>
      <c r="H216" s="1"/>
      <c r="I216" s="1"/>
      <c r="J216" s="1"/>
      <c r="K216" s="1"/>
      <c r="L216" s="1"/>
      <c r="M216" s="1"/>
      <c r="N216" s="1"/>
      <c r="O216" s="1"/>
    </row>
    <row r="217" spans="1:15">
      <c r="A217" s="1"/>
      <c r="B217" s="1"/>
      <c r="C217" s="1"/>
      <c r="D217" s="1"/>
      <c r="E217" s="1"/>
      <c r="F217" s="1"/>
      <c r="G217" s="1"/>
      <c r="H217" s="1"/>
      <c r="I217" s="1"/>
      <c r="J217" s="1"/>
      <c r="K217" s="1"/>
      <c r="L217" s="1"/>
      <c r="M217" s="1"/>
      <c r="N217" s="1"/>
      <c r="O217" s="1"/>
    </row>
    <row r="218" spans="1:15">
      <c r="A218" s="1"/>
      <c r="B218" s="1"/>
      <c r="C218" s="1"/>
      <c r="D218" s="1"/>
      <c r="E218" s="1"/>
      <c r="F218" s="1"/>
      <c r="G218" s="1"/>
      <c r="H218" s="1"/>
      <c r="I218" s="1"/>
      <c r="J218" s="1"/>
      <c r="K218" s="1"/>
      <c r="L218" s="1"/>
      <c r="M218" s="1"/>
      <c r="N218" s="1"/>
      <c r="O218" s="1"/>
    </row>
    <row r="219" spans="1:15">
      <c r="A219" s="1"/>
      <c r="B219" s="1"/>
      <c r="C219" s="1"/>
      <c r="D219" s="1"/>
      <c r="E219" s="1"/>
      <c r="F219" s="1"/>
      <c r="G219" s="1"/>
      <c r="H219" s="1"/>
      <c r="I219" s="1"/>
      <c r="J219" s="1"/>
      <c r="K219" s="1"/>
      <c r="L219" s="1"/>
      <c r="M219" s="1"/>
      <c r="N219" s="1"/>
      <c r="O219" s="1"/>
    </row>
    <row r="220" spans="1:15">
      <c r="A220" s="1"/>
      <c r="B220" s="1"/>
      <c r="C220" s="1"/>
      <c r="D220" s="1"/>
      <c r="E220" s="1"/>
      <c r="F220" s="1"/>
      <c r="G220" s="1"/>
      <c r="H220" s="1"/>
      <c r="I220" s="1"/>
      <c r="J220" s="1"/>
      <c r="K220" s="1"/>
      <c r="L220" s="1"/>
      <c r="M220" s="1"/>
      <c r="N220" s="1"/>
      <c r="O220" s="1"/>
    </row>
    <row r="221" spans="1:15">
      <c r="A221" s="1"/>
      <c r="B221" s="1"/>
      <c r="C221" s="1"/>
      <c r="D221" s="1"/>
      <c r="E221" s="1"/>
      <c r="F221" s="1"/>
      <c r="G221" s="1"/>
      <c r="H221" s="1"/>
      <c r="I221" s="1"/>
      <c r="J221" s="1"/>
      <c r="K221" s="1"/>
      <c r="L221" s="1"/>
      <c r="M221" s="1"/>
      <c r="N221" s="1"/>
      <c r="O221" s="1"/>
    </row>
    <row r="222" spans="1:15">
      <c r="A222" s="1"/>
      <c r="B222" s="1"/>
      <c r="C222" s="1"/>
      <c r="D222" s="1"/>
      <c r="E222" s="1"/>
      <c r="F222" s="1"/>
      <c r="G222" s="1"/>
      <c r="H222" s="1"/>
      <c r="I222" s="1"/>
      <c r="J222" s="1"/>
      <c r="K222" s="1"/>
      <c r="L222" s="1"/>
      <c r="M222" s="1"/>
      <c r="N222" s="1"/>
      <c r="O222" s="1"/>
    </row>
    <row r="223" spans="1:15">
      <c r="A223" s="1"/>
      <c r="B223" s="1"/>
      <c r="C223" s="1"/>
      <c r="D223" s="1"/>
      <c r="E223" s="1"/>
      <c r="F223" s="1"/>
      <c r="G223" s="1"/>
      <c r="H223" s="1"/>
      <c r="I223" s="1"/>
      <c r="J223" s="1"/>
      <c r="K223" s="1"/>
      <c r="L223" s="1"/>
      <c r="M223" s="1"/>
      <c r="N223" s="1"/>
      <c r="O223" s="1"/>
    </row>
    <row r="224" spans="1:15">
      <c r="A224" s="1"/>
      <c r="B224" s="1"/>
      <c r="C224" s="1"/>
      <c r="D224" s="1"/>
      <c r="E224" s="1"/>
      <c r="F224" s="1"/>
      <c r="G224" s="1"/>
      <c r="H224" s="1"/>
      <c r="I224" s="1"/>
      <c r="J224" s="1"/>
      <c r="K224" s="1"/>
      <c r="L224" s="1"/>
      <c r="M224" s="1"/>
      <c r="N224" s="1"/>
      <c r="O224" s="1"/>
    </row>
    <row r="225" spans="1:15">
      <c r="A225" s="1"/>
      <c r="B225" s="1"/>
      <c r="C225" s="1"/>
      <c r="D225" s="1"/>
      <c r="E225" s="1"/>
      <c r="F225" s="1"/>
      <c r="G225" s="1"/>
      <c r="H225" s="1"/>
      <c r="I225" s="1"/>
      <c r="J225" s="1"/>
      <c r="K225" s="1"/>
      <c r="L225" s="1"/>
      <c r="M225" s="1"/>
      <c r="N225" s="1"/>
      <c r="O225" s="1"/>
    </row>
    <row r="226" spans="1:15">
      <c r="A226" s="1"/>
      <c r="B226" s="120" t="s">
        <v>365</v>
      </c>
      <c r="C226" s="1"/>
      <c r="D226" s="1"/>
      <c r="E226" s="1"/>
      <c r="F226" s="1"/>
      <c r="G226" s="1"/>
      <c r="H226" s="1"/>
      <c r="I226" s="1"/>
      <c r="J226" s="1"/>
      <c r="K226" s="1"/>
      <c r="L226" s="1"/>
      <c r="M226" s="1"/>
      <c r="N226" s="1"/>
      <c r="O226" s="1"/>
    </row>
    <row r="227" spans="1:15">
      <c r="A227" s="1"/>
      <c r="B227" s="121" t="s">
        <v>366</v>
      </c>
      <c r="C227" s="1"/>
      <c r="D227" s="1"/>
      <c r="E227" s="1"/>
      <c r="F227" s="1"/>
      <c r="G227" s="1"/>
      <c r="H227" s="1"/>
      <c r="I227" s="1"/>
      <c r="J227" s="1"/>
      <c r="K227" s="1"/>
      <c r="L227" s="1"/>
      <c r="M227" s="1"/>
      <c r="N227" s="1"/>
      <c r="O227" s="1"/>
    </row>
    <row r="228" spans="1:15">
      <c r="A228" s="1"/>
      <c r="B228" s="122" t="s">
        <v>367</v>
      </c>
      <c r="C228" s="1"/>
      <c r="D228" s="1"/>
      <c r="E228" s="1"/>
      <c r="F228" s="1"/>
      <c r="G228" s="1"/>
      <c r="H228" s="1"/>
      <c r="I228" s="1"/>
      <c r="J228" s="1"/>
      <c r="K228" s="1"/>
      <c r="L228" s="1"/>
      <c r="M228" s="1"/>
      <c r="N228" s="1"/>
      <c r="O228" s="1"/>
    </row>
    <row r="229" spans="1:15">
      <c r="A229" s="1"/>
      <c r="B229" s="1"/>
      <c r="C229" s="1"/>
      <c r="D229" s="1"/>
      <c r="E229" s="1"/>
      <c r="F229" s="1"/>
      <c r="G229" s="1"/>
      <c r="H229" s="1"/>
      <c r="I229" s="1"/>
      <c r="J229" s="1"/>
      <c r="K229" s="1"/>
      <c r="L229" s="1"/>
      <c r="M229" s="1"/>
      <c r="N229" s="1"/>
      <c r="O229" s="1"/>
    </row>
    <row r="230" spans="1:15">
      <c r="A230" s="1"/>
      <c r="B230" s="123"/>
      <c r="C230" s="124"/>
      <c r="D230" s="1"/>
      <c r="E230" s="1"/>
      <c r="F230" s="1"/>
      <c r="G230" s="1"/>
      <c r="H230" s="1"/>
      <c r="I230" s="1"/>
      <c r="J230" s="1"/>
      <c r="K230" s="1"/>
      <c r="L230" s="1"/>
      <c r="M230" s="1"/>
      <c r="N230" s="1"/>
      <c r="O230" s="1"/>
    </row>
    <row r="231" spans="1:15">
      <c r="A231" s="1"/>
      <c r="B231" s="124"/>
      <c r="C231" s="125"/>
      <c r="D231" s="126" t="s">
        <v>368</v>
      </c>
      <c r="E231" s="127"/>
      <c r="F231" s="128"/>
      <c r="G231" s="124"/>
      <c r="H231" s="125"/>
      <c r="I231" s="126" t="s">
        <v>369</v>
      </c>
      <c r="J231" s="127"/>
      <c r="K231" s="128"/>
      <c r="L231" s="1"/>
      <c r="M231" s="129" t="s">
        <v>370</v>
      </c>
      <c r="N231" s="1"/>
      <c r="O231" s="1"/>
    </row>
    <row r="232" spans="1:15">
      <c r="A232" s="1"/>
      <c r="B232" s="124"/>
      <c r="C232" s="130" t="s">
        <v>224</v>
      </c>
      <c r="D232" s="131"/>
      <c r="E232" s="132" t="s">
        <v>225</v>
      </c>
      <c r="F232" s="133"/>
      <c r="G232" s="124"/>
      <c r="H232" s="130" t="s">
        <v>224</v>
      </c>
      <c r="I232" s="131"/>
      <c r="J232" s="132" t="s">
        <v>225</v>
      </c>
      <c r="K232" s="133"/>
      <c r="L232" s="1"/>
      <c r="M232" s="1"/>
      <c r="N232" s="1"/>
      <c r="O232" s="1"/>
    </row>
    <row r="233" spans="1:15">
      <c r="A233" s="1"/>
      <c r="B233" s="134" t="s">
        <v>371</v>
      </c>
      <c r="C233" s="135">
        <v>62</v>
      </c>
      <c r="D233" s="136" t="s">
        <v>372</v>
      </c>
      <c r="E233" s="137">
        <v>76</v>
      </c>
      <c r="F233" s="138" t="s">
        <v>212</v>
      </c>
      <c r="G233" s="139"/>
      <c r="H233" s="140">
        <f>C233</f>
        <v>62</v>
      </c>
      <c r="I233" s="136" t="s">
        <v>372</v>
      </c>
      <c r="J233" s="136">
        <f>E233</f>
        <v>76</v>
      </c>
      <c r="K233" s="138" t="s">
        <v>212</v>
      </c>
      <c r="L233" s="1"/>
      <c r="M233" s="1"/>
      <c r="N233" s="1"/>
      <c r="O233" s="1"/>
    </row>
    <row r="234" spans="1:15">
      <c r="A234" s="1"/>
      <c r="B234" s="134" t="s">
        <v>373</v>
      </c>
      <c r="C234" s="141">
        <v>9</v>
      </c>
      <c r="D234" s="131" t="s">
        <v>372</v>
      </c>
      <c r="E234" s="142">
        <v>13</v>
      </c>
      <c r="F234" s="143" t="s">
        <v>212</v>
      </c>
      <c r="G234" s="139"/>
      <c r="H234" s="144">
        <f>E234</f>
        <v>13</v>
      </c>
      <c r="I234" s="131" t="s">
        <v>372</v>
      </c>
      <c r="J234" s="131">
        <f>C234</f>
        <v>9</v>
      </c>
      <c r="K234" s="143" t="s">
        <v>212</v>
      </c>
      <c r="L234" s="1"/>
      <c r="M234" s="1"/>
      <c r="N234" s="1"/>
      <c r="O234" s="1"/>
    </row>
    <row r="235" spans="1:15">
      <c r="A235" s="1"/>
      <c r="B235" s="134"/>
      <c r="C235" s="140"/>
      <c r="D235" s="136"/>
      <c r="E235" s="136"/>
      <c r="F235" s="138"/>
      <c r="G235" s="139"/>
      <c r="H235" s="140"/>
      <c r="I235" s="136"/>
      <c r="J235" s="136"/>
      <c r="K235" s="138"/>
      <c r="L235" s="1"/>
      <c r="M235" s="1"/>
      <c r="N235" s="1"/>
      <c r="O235" s="1"/>
    </row>
    <row r="236" spans="1:15">
      <c r="A236" s="1"/>
      <c r="B236" s="123" t="s">
        <v>374</v>
      </c>
      <c r="C236" s="145">
        <f>C233/C234</f>
        <v>6.8888888888888893</v>
      </c>
      <c r="D236" s="136" t="s">
        <v>372</v>
      </c>
      <c r="E236" s="146">
        <f>E233/E234</f>
        <v>5.8461538461538458</v>
      </c>
      <c r="F236" s="147"/>
      <c r="G236" s="148"/>
      <c r="H236" s="145">
        <f>H233/H234</f>
        <v>4.7692307692307692</v>
      </c>
      <c r="I236" s="136" t="s">
        <v>372</v>
      </c>
      <c r="J236" s="146">
        <f>J233/J234</f>
        <v>8.4444444444444446</v>
      </c>
      <c r="K236" s="147"/>
      <c r="L236" s="1"/>
      <c r="M236" s="1"/>
      <c r="N236" s="1"/>
      <c r="O236" s="1"/>
    </row>
    <row r="237" spans="1:15">
      <c r="A237" s="1"/>
      <c r="B237" s="134" t="s">
        <v>375</v>
      </c>
      <c r="C237" s="149">
        <f>INT(C236)</f>
        <v>6</v>
      </c>
      <c r="D237" s="136" t="s">
        <v>372</v>
      </c>
      <c r="E237" s="150">
        <f>INT(E236)</f>
        <v>5</v>
      </c>
      <c r="F237" s="151"/>
      <c r="G237" s="152"/>
      <c r="H237" s="149">
        <f>INT(H236)</f>
        <v>4</v>
      </c>
      <c r="I237" s="136" t="s">
        <v>372</v>
      </c>
      <c r="J237" s="150">
        <f>INT(J236)</f>
        <v>8</v>
      </c>
      <c r="K237" s="138"/>
      <c r="L237" s="1"/>
      <c r="M237" s="1"/>
      <c r="N237" s="1"/>
      <c r="O237" s="1"/>
    </row>
    <row r="238" spans="1:15">
      <c r="A238" s="1"/>
      <c r="B238" s="134" t="s">
        <v>376</v>
      </c>
      <c r="C238" s="144"/>
      <c r="D238" s="153">
        <f>C237*E237</f>
        <v>30</v>
      </c>
      <c r="E238" s="153"/>
      <c r="F238" s="154"/>
      <c r="G238" s="155"/>
      <c r="H238" s="156"/>
      <c r="I238" s="153">
        <f>H237*J237</f>
        <v>32</v>
      </c>
      <c r="J238" s="131"/>
      <c r="K238" s="143"/>
      <c r="L238" s="1"/>
      <c r="M238" s="1"/>
      <c r="N238" s="1"/>
      <c r="O238" s="1"/>
    </row>
    <row r="239" spans="1:15">
      <c r="A239" s="1"/>
      <c r="B239" s="134"/>
      <c r="C239" s="140"/>
      <c r="D239" s="157"/>
      <c r="E239" s="157"/>
      <c r="F239" s="158"/>
      <c r="G239" s="155"/>
      <c r="H239" s="159"/>
      <c r="I239" s="157"/>
      <c r="J239" s="136"/>
      <c r="K239" s="138"/>
      <c r="L239" s="1"/>
      <c r="M239" s="1"/>
      <c r="N239" s="1"/>
      <c r="O239" s="1"/>
    </row>
    <row r="240" spans="1:15">
      <c r="A240" s="1"/>
      <c r="B240" s="134"/>
      <c r="C240" s="140"/>
      <c r="D240" s="160" t="s">
        <v>377</v>
      </c>
      <c r="E240" s="136"/>
      <c r="F240" s="138"/>
      <c r="G240" s="139"/>
      <c r="H240" s="140"/>
      <c r="I240" s="160" t="s">
        <v>377</v>
      </c>
      <c r="J240" s="136"/>
      <c r="K240" s="138"/>
      <c r="L240" s="1"/>
      <c r="M240" s="1"/>
      <c r="N240" s="1"/>
      <c r="O240" s="1"/>
    </row>
    <row r="241" spans="1:15">
      <c r="A241" s="1"/>
      <c r="B241" s="134" t="s">
        <v>378</v>
      </c>
      <c r="C241" s="159">
        <f>C233-(C234*C237)</f>
        <v>8</v>
      </c>
      <c r="D241" s="136" t="s">
        <v>372</v>
      </c>
      <c r="E241" s="136">
        <f>E233</f>
        <v>76</v>
      </c>
      <c r="F241" s="138" t="s">
        <v>212</v>
      </c>
      <c r="G241" s="139"/>
      <c r="H241" s="159">
        <f>H233-(H234*H237)</f>
        <v>10</v>
      </c>
      <c r="I241" s="136" t="s">
        <v>372</v>
      </c>
      <c r="J241" s="136">
        <f>J233</f>
        <v>76</v>
      </c>
      <c r="K241" s="138" t="s">
        <v>212</v>
      </c>
      <c r="L241" s="1"/>
      <c r="M241" s="1"/>
      <c r="N241" s="1"/>
      <c r="O241" s="1"/>
    </row>
    <row r="242" spans="1:15">
      <c r="A242" s="1"/>
      <c r="B242" s="134" t="s">
        <v>379</v>
      </c>
      <c r="C242" s="144">
        <f>C233</f>
        <v>62</v>
      </c>
      <c r="D242" s="131" t="s">
        <v>372</v>
      </c>
      <c r="E242" s="153">
        <f>E233-(E234*E237)</f>
        <v>11</v>
      </c>
      <c r="F242" s="143" t="s">
        <v>212</v>
      </c>
      <c r="G242" s="139"/>
      <c r="H242" s="144">
        <f>H233</f>
        <v>62</v>
      </c>
      <c r="I242" s="131" t="s">
        <v>372</v>
      </c>
      <c r="J242" s="153">
        <f>J233-(J234*J237)</f>
        <v>4</v>
      </c>
      <c r="K242" s="143" t="s">
        <v>212</v>
      </c>
      <c r="L242" s="1"/>
      <c r="M242" s="1"/>
      <c r="N242" s="1"/>
      <c r="O242" s="1"/>
    </row>
    <row r="243" spans="1:15">
      <c r="A243" s="1"/>
      <c r="B243" s="134" t="s">
        <v>373</v>
      </c>
      <c r="C243" s="140">
        <v>13</v>
      </c>
      <c r="D243" s="136" t="s">
        <v>372</v>
      </c>
      <c r="E243" s="136">
        <v>9</v>
      </c>
      <c r="F243" s="138" t="s">
        <v>212</v>
      </c>
      <c r="G243" s="139"/>
      <c r="H243" s="140">
        <v>9</v>
      </c>
      <c r="I243" s="136" t="s">
        <v>372</v>
      </c>
      <c r="J243" s="136">
        <v>13</v>
      </c>
      <c r="K243" s="138" t="s">
        <v>212</v>
      </c>
      <c r="L243" s="1"/>
      <c r="M243" s="1"/>
      <c r="N243" s="1"/>
      <c r="O243" s="1"/>
    </row>
    <row r="244" spans="1:15">
      <c r="A244" s="1"/>
      <c r="B244" s="134"/>
      <c r="C244" s="140"/>
      <c r="D244" s="136"/>
      <c r="E244" s="136"/>
      <c r="F244" s="138"/>
      <c r="G244" s="139"/>
      <c r="H244" s="140"/>
      <c r="I244" s="136"/>
      <c r="J244" s="136"/>
      <c r="K244" s="138"/>
      <c r="L244" s="1"/>
      <c r="M244" s="1"/>
      <c r="N244" s="1"/>
      <c r="O244" s="1"/>
    </row>
    <row r="245" spans="1:15">
      <c r="A245" s="1"/>
      <c r="B245" s="123" t="s">
        <v>380</v>
      </c>
      <c r="C245" s="145">
        <f>C242/C243</f>
        <v>4.7692307692307692</v>
      </c>
      <c r="D245" s="136" t="s">
        <v>372</v>
      </c>
      <c r="E245" s="146">
        <f>E242/E243</f>
        <v>1.2222222222222223</v>
      </c>
      <c r="F245" s="147"/>
      <c r="G245" s="139"/>
      <c r="H245" s="145">
        <f>H241/H243</f>
        <v>1.1111111111111112</v>
      </c>
      <c r="I245" s="136" t="s">
        <v>372</v>
      </c>
      <c r="J245" s="146">
        <f>J241/J243</f>
        <v>5.8461538461538458</v>
      </c>
      <c r="K245" s="147"/>
      <c r="L245" s="1"/>
      <c r="M245" s="1"/>
      <c r="N245" s="1"/>
      <c r="O245" s="1"/>
    </row>
    <row r="246" spans="1:15">
      <c r="A246" s="1"/>
      <c r="B246" s="134" t="s">
        <v>375</v>
      </c>
      <c r="C246" s="149">
        <f>INT(C245)</f>
        <v>4</v>
      </c>
      <c r="D246" s="136" t="s">
        <v>372</v>
      </c>
      <c r="E246" s="150">
        <f>INT(E245)</f>
        <v>1</v>
      </c>
      <c r="F246" s="151"/>
      <c r="G246" s="139"/>
      <c r="H246" s="149">
        <f>INT(H245)</f>
        <v>1</v>
      </c>
      <c r="I246" s="136" t="s">
        <v>372</v>
      </c>
      <c r="J246" s="150">
        <f>INT(J245)</f>
        <v>5</v>
      </c>
      <c r="K246" s="151"/>
      <c r="L246" s="1"/>
      <c r="M246" s="1"/>
      <c r="N246" s="1"/>
      <c r="O246" s="1"/>
    </row>
    <row r="247" spans="1:15">
      <c r="A247" s="1"/>
      <c r="B247" s="134" t="s">
        <v>376</v>
      </c>
      <c r="C247" s="144"/>
      <c r="D247" s="153">
        <f>C246*E246</f>
        <v>4</v>
      </c>
      <c r="E247" s="153"/>
      <c r="F247" s="154"/>
      <c r="G247" s="139"/>
      <c r="H247" s="144"/>
      <c r="I247" s="153">
        <f>H246*J246</f>
        <v>5</v>
      </c>
      <c r="J247" s="153"/>
      <c r="K247" s="154"/>
      <c r="L247" s="1"/>
      <c r="M247" s="1"/>
      <c r="N247" s="1"/>
      <c r="O247" s="1"/>
    </row>
    <row r="248" spans="1:15">
      <c r="A248" s="1"/>
      <c r="B248" s="123"/>
      <c r="C248" s="140"/>
      <c r="D248" s="146"/>
      <c r="E248" s="146"/>
      <c r="F248" s="147"/>
      <c r="G248" s="148"/>
      <c r="H248" s="145"/>
      <c r="I248" s="146"/>
      <c r="J248" s="136"/>
      <c r="K248" s="138"/>
      <c r="L248" s="1"/>
      <c r="M248" s="1"/>
      <c r="N248" s="1"/>
      <c r="O248" s="1"/>
    </row>
    <row r="249" spans="1:15">
      <c r="A249" s="1"/>
      <c r="B249" s="161" t="s">
        <v>381</v>
      </c>
      <c r="C249" s="144"/>
      <c r="D249" s="131">
        <f>D238+D247</f>
        <v>34</v>
      </c>
      <c r="E249" s="131"/>
      <c r="F249" s="143"/>
      <c r="G249" s="131"/>
      <c r="H249" s="144"/>
      <c r="I249" s="131">
        <f>I238+I247</f>
        <v>37</v>
      </c>
      <c r="J249" s="131"/>
      <c r="K249" s="143"/>
      <c r="L249" s="1"/>
      <c r="M249" s="1"/>
      <c r="N249" s="1"/>
      <c r="O249" s="1"/>
    </row>
    <row r="250" spans="1:15">
      <c r="A250" s="1"/>
      <c r="B250" s="134"/>
      <c r="C250" s="140"/>
      <c r="D250" s="136"/>
      <c r="E250" s="136"/>
      <c r="F250" s="138"/>
      <c r="G250" s="139"/>
      <c r="H250" s="140"/>
      <c r="I250" s="136"/>
      <c r="J250" s="136"/>
      <c r="K250" s="138"/>
      <c r="L250" s="1"/>
      <c r="M250" s="1"/>
      <c r="N250" s="1"/>
      <c r="O250" s="1"/>
    </row>
    <row r="251" spans="1:15">
      <c r="A251" s="1"/>
      <c r="B251" s="123" t="s">
        <v>382</v>
      </c>
      <c r="C251" s="140"/>
      <c r="D251" s="136">
        <f>E233*C233</f>
        <v>4712</v>
      </c>
      <c r="E251" s="160" t="s">
        <v>215</v>
      </c>
      <c r="F251" s="138"/>
      <c r="G251" s="139"/>
      <c r="H251" s="140"/>
      <c r="I251" s="136">
        <f>D251</f>
        <v>4712</v>
      </c>
      <c r="J251" s="136" t="str">
        <f>E251</f>
        <v>cm²</v>
      </c>
      <c r="K251" s="138"/>
      <c r="L251" s="1"/>
      <c r="M251" s="1"/>
      <c r="N251" s="1"/>
      <c r="O251" s="1"/>
    </row>
    <row r="252" spans="1:15">
      <c r="A252" s="1"/>
      <c r="B252" s="123" t="s">
        <v>383</v>
      </c>
      <c r="C252" s="140"/>
      <c r="D252" s="136">
        <f>D249*C234*E234</f>
        <v>3978</v>
      </c>
      <c r="E252" s="160" t="s">
        <v>215</v>
      </c>
      <c r="F252" s="138"/>
      <c r="G252" s="139"/>
      <c r="H252" s="140"/>
      <c r="I252" s="136">
        <f>I249*H234*J234</f>
        <v>4329</v>
      </c>
      <c r="J252" s="136" t="str">
        <f>E252</f>
        <v>cm²</v>
      </c>
      <c r="K252" s="138"/>
      <c r="L252" s="1"/>
      <c r="M252" s="1"/>
      <c r="N252" s="1"/>
      <c r="O252" s="1"/>
    </row>
    <row r="253" spans="1:15">
      <c r="A253" s="1"/>
      <c r="B253" s="134"/>
      <c r="C253" s="140"/>
      <c r="D253" s="136"/>
      <c r="E253" s="136"/>
      <c r="F253" s="138"/>
      <c r="G253" s="139"/>
      <c r="H253" s="140"/>
      <c r="I253" s="136"/>
      <c r="J253" s="136"/>
      <c r="K253" s="138"/>
      <c r="L253" s="1"/>
      <c r="M253" s="1"/>
      <c r="N253" s="1"/>
      <c r="O253" s="1"/>
    </row>
    <row r="254" spans="1:15">
      <c r="A254" s="1"/>
      <c r="B254" s="123" t="s">
        <v>384</v>
      </c>
      <c r="C254" s="140"/>
      <c r="D254" s="136">
        <f>D251-D252</f>
        <v>734</v>
      </c>
      <c r="E254" s="160" t="s">
        <v>215</v>
      </c>
      <c r="F254" s="138"/>
      <c r="G254" s="139"/>
      <c r="H254" s="140"/>
      <c r="I254" s="136">
        <f>I251-I252</f>
        <v>383</v>
      </c>
      <c r="J254" s="136" t="str">
        <f>E254</f>
        <v>cm²</v>
      </c>
      <c r="K254" s="138"/>
      <c r="L254" s="1"/>
      <c r="M254" s="1"/>
      <c r="N254" s="1"/>
      <c r="O254" s="1"/>
    </row>
    <row r="255" spans="1:15">
      <c r="A255" s="1"/>
      <c r="B255" s="123" t="s">
        <v>385</v>
      </c>
      <c r="C255" s="162"/>
      <c r="D255" s="163">
        <f>D254/D251</f>
        <v>0.15577249575551783</v>
      </c>
      <c r="E255" s="131"/>
      <c r="F255" s="143"/>
      <c r="G255" s="139"/>
      <c r="H255" s="144"/>
      <c r="I255" s="163">
        <f>I254/I251</f>
        <v>8.1281833616298815E-2</v>
      </c>
      <c r="J255" s="164"/>
      <c r="K255" s="133"/>
      <c r="L255" s="1"/>
      <c r="M255" s="1"/>
      <c r="N255" s="1"/>
      <c r="O255" s="1"/>
    </row>
    <row r="256" spans="1:15">
      <c r="A256" s="1"/>
      <c r="B256" s="1"/>
      <c r="C256" s="1"/>
      <c r="D256" s="1"/>
      <c r="E256" s="1"/>
      <c r="F256" s="1"/>
      <c r="G256" s="1"/>
      <c r="H256" s="1"/>
      <c r="I256" s="1"/>
      <c r="J256" s="1"/>
      <c r="K256" s="1"/>
      <c r="L256" s="1"/>
      <c r="M256" s="1"/>
      <c r="N256" s="1"/>
      <c r="O256" s="1"/>
    </row>
    <row r="257" spans="1:15">
      <c r="A257" s="1"/>
      <c r="B257" s="1"/>
      <c r="C257" s="1"/>
      <c r="D257" s="1"/>
      <c r="E257" s="1"/>
      <c r="F257" s="1"/>
      <c r="G257" s="1"/>
      <c r="H257" s="1"/>
      <c r="I257" s="1"/>
      <c r="J257" s="1"/>
      <c r="K257" s="1"/>
      <c r="L257" s="1"/>
      <c r="M257" s="1"/>
      <c r="N257" s="1"/>
      <c r="O257" s="1"/>
    </row>
    <row r="258" spans="1:15">
      <c r="A258" s="1"/>
      <c r="B258" s="1"/>
      <c r="C258" s="1"/>
      <c r="D258" s="1"/>
      <c r="E258" s="1"/>
      <c r="F258" s="1"/>
      <c r="G258" s="1"/>
      <c r="H258" s="1"/>
      <c r="I258" s="1"/>
      <c r="J258" s="1"/>
      <c r="K258" s="1"/>
      <c r="L258" s="1"/>
      <c r="M258" s="1"/>
      <c r="N258" s="1"/>
      <c r="O258" s="1"/>
    </row>
    <row r="259" spans="1:15">
      <c r="A259" s="1"/>
      <c r="B259" s="1"/>
      <c r="C259" s="1"/>
      <c r="D259" s="1"/>
      <c r="E259" s="1"/>
      <c r="F259" s="1"/>
      <c r="G259" s="1"/>
      <c r="H259" s="1"/>
      <c r="I259" s="1"/>
      <c r="J259" s="1"/>
      <c r="K259" s="1"/>
      <c r="L259" s="1"/>
      <c r="M259" s="1"/>
      <c r="N259" s="1"/>
      <c r="O259" s="1"/>
    </row>
    <row r="260" spans="1:15">
      <c r="A260" s="1"/>
      <c r="B260" s="1"/>
      <c r="C260" s="1"/>
      <c r="D260" s="1"/>
      <c r="E260" s="1"/>
      <c r="F260" s="1"/>
      <c r="G260" s="1"/>
      <c r="H260" s="1"/>
      <c r="I260" s="1"/>
      <c r="J260" s="1"/>
      <c r="K260" s="1"/>
      <c r="L260" s="1"/>
      <c r="M260" s="1"/>
      <c r="N260" s="1"/>
      <c r="O260" s="1"/>
    </row>
    <row r="261" spans="1:15">
      <c r="A261" s="1"/>
      <c r="B261" s="1"/>
      <c r="C261" s="1"/>
      <c r="D261" s="1"/>
      <c r="E261" s="1"/>
      <c r="F261" s="1"/>
      <c r="G261" s="1"/>
      <c r="H261" s="1"/>
      <c r="I261" s="1"/>
      <c r="J261" s="1"/>
      <c r="K261" s="1"/>
      <c r="L261" s="1"/>
      <c r="M261" s="1"/>
      <c r="N261" s="1"/>
      <c r="O261" s="1"/>
    </row>
    <row r="262" spans="1:15">
      <c r="A262" s="1"/>
      <c r="B262" s="1"/>
      <c r="C262" s="1"/>
      <c r="D262" s="1"/>
      <c r="E262" s="1"/>
      <c r="F262" s="1"/>
      <c r="G262" s="1"/>
      <c r="H262" s="1"/>
      <c r="I262" s="1"/>
      <c r="J262" s="1"/>
      <c r="K262" s="1"/>
      <c r="L262" s="1"/>
      <c r="M262" s="1"/>
      <c r="N262" s="1"/>
      <c r="O262" s="1"/>
    </row>
    <row r="263" spans="1:15">
      <c r="A263" s="1"/>
      <c r="B263" s="1"/>
      <c r="C263" s="1"/>
      <c r="D263" s="1"/>
      <c r="E263" s="1"/>
      <c r="F263" s="1"/>
      <c r="G263" s="1"/>
      <c r="H263" s="1"/>
      <c r="I263" s="1"/>
      <c r="J263" s="1"/>
      <c r="K263" s="1"/>
      <c r="L263" s="1"/>
      <c r="M263" s="1"/>
      <c r="N263" s="1"/>
      <c r="O263" s="1"/>
    </row>
    <row r="264" spans="1:15">
      <c r="A264" s="1"/>
      <c r="B264" s="1"/>
      <c r="C264" s="1"/>
      <c r="D264" s="1"/>
      <c r="E264" s="1"/>
      <c r="F264" s="1"/>
      <c r="G264" s="1"/>
      <c r="H264" s="1"/>
      <c r="I264" s="1"/>
      <c r="J264" s="1"/>
      <c r="K264" s="1"/>
      <c r="L264" s="1"/>
      <c r="M264" s="1"/>
      <c r="N264" s="1"/>
      <c r="O264" s="1"/>
    </row>
    <row r="265" spans="1:15">
      <c r="A265" s="1"/>
      <c r="B265" s="1"/>
      <c r="C265" s="1"/>
      <c r="D265" s="1"/>
      <c r="E265" s="1"/>
      <c r="F265" s="1"/>
      <c r="G265" s="1"/>
      <c r="H265" s="1"/>
      <c r="I265" s="1"/>
      <c r="J265" s="1"/>
      <c r="K265" s="1"/>
      <c r="L265" s="1"/>
      <c r="M265" s="1"/>
      <c r="N265" s="1"/>
      <c r="O265" s="1"/>
    </row>
    <row r="266" spans="1:15">
      <c r="A266" s="1"/>
      <c r="B266" s="1"/>
      <c r="C266" s="1"/>
      <c r="D266" s="1"/>
      <c r="E266" s="1"/>
      <c r="F266" s="1"/>
      <c r="G266" s="1"/>
      <c r="H266" s="1"/>
      <c r="I266" s="1"/>
      <c r="J266" s="1"/>
      <c r="K266" s="1"/>
      <c r="L266" s="1"/>
      <c r="M266" s="1"/>
      <c r="N266" s="1"/>
      <c r="O266" s="1"/>
    </row>
    <row r="267" spans="1:15">
      <c r="A267" s="1"/>
      <c r="B267" s="1"/>
      <c r="C267" s="1"/>
      <c r="D267" s="1"/>
      <c r="E267" s="1"/>
      <c r="F267" s="1"/>
      <c r="G267" s="1"/>
      <c r="H267" s="1"/>
      <c r="I267" s="1"/>
      <c r="J267" s="1"/>
      <c r="K267" s="1"/>
      <c r="L267" s="1"/>
      <c r="M267" s="1"/>
      <c r="N267" s="1"/>
      <c r="O267" s="1"/>
    </row>
    <row r="268" spans="1:15">
      <c r="A268" s="1"/>
      <c r="B268" s="1"/>
      <c r="C268" s="1"/>
      <c r="D268" s="1"/>
      <c r="E268" s="1"/>
      <c r="F268" s="1"/>
      <c r="G268" s="1"/>
      <c r="H268" s="1"/>
      <c r="I268" s="1"/>
      <c r="J268" s="1"/>
      <c r="K268" s="1"/>
      <c r="L268" s="1"/>
      <c r="M268" s="1"/>
      <c r="N268" s="1"/>
      <c r="O268" s="1"/>
    </row>
    <row r="269" spans="1:15">
      <c r="A269" s="1"/>
      <c r="B269" s="1"/>
      <c r="C269" s="1"/>
      <c r="D269" s="1"/>
      <c r="E269" s="1"/>
      <c r="F269" s="1"/>
      <c r="G269" s="1"/>
      <c r="H269" s="1"/>
      <c r="I269" s="1"/>
      <c r="J269" s="1"/>
      <c r="K269" s="1"/>
      <c r="L269" s="1"/>
      <c r="M269" s="1"/>
      <c r="N269" s="1"/>
      <c r="O269" s="1"/>
    </row>
    <row r="270" spans="1:15">
      <c r="A270" s="1"/>
      <c r="B270" s="1"/>
      <c r="C270" s="1"/>
      <c r="D270" s="1"/>
      <c r="E270" s="1"/>
      <c r="F270" s="1"/>
      <c r="G270" s="1"/>
      <c r="H270" s="1"/>
      <c r="I270" s="1"/>
      <c r="J270" s="1"/>
      <c r="K270" s="1"/>
      <c r="L270" s="1"/>
      <c r="M270" s="1"/>
      <c r="N270" s="1"/>
      <c r="O270" s="1"/>
    </row>
    <row r="271" spans="1:15">
      <c r="A271" s="1"/>
      <c r="B271" s="1"/>
      <c r="C271" s="1"/>
      <c r="D271" s="1"/>
      <c r="E271" s="1"/>
      <c r="F271" s="1"/>
      <c r="G271" s="1"/>
      <c r="H271" s="1"/>
      <c r="I271" s="1"/>
      <c r="J271" s="1"/>
      <c r="K271" s="1"/>
      <c r="L271" s="1"/>
      <c r="M271" s="1"/>
      <c r="N271" s="1"/>
      <c r="O271" s="1"/>
    </row>
    <row r="272" spans="1:15">
      <c r="A272" s="1"/>
      <c r="B272" s="1"/>
      <c r="C272" s="1"/>
      <c r="D272" s="1"/>
      <c r="E272" s="1"/>
      <c r="F272" s="1"/>
      <c r="G272" s="1"/>
      <c r="H272" s="1"/>
      <c r="I272" s="1"/>
      <c r="J272" s="1"/>
      <c r="K272" s="1"/>
      <c r="L272" s="1"/>
      <c r="M272" s="1"/>
      <c r="N272" s="1"/>
      <c r="O272" s="1"/>
    </row>
    <row r="273" spans="1:15">
      <c r="A273" s="1"/>
      <c r="B273" s="1"/>
      <c r="C273" s="1"/>
      <c r="D273" s="1"/>
      <c r="E273" s="1"/>
      <c r="F273" s="1"/>
      <c r="G273" s="1"/>
      <c r="H273" s="1"/>
      <c r="I273" s="1"/>
      <c r="J273" s="1"/>
      <c r="K273" s="1"/>
      <c r="L273" s="1"/>
      <c r="M273" s="1"/>
      <c r="N273" s="1"/>
      <c r="O273" s="1"/>
    </row>
    <row r="274" spans="1:15">
      <c r="A274" s="1"/>
      <c r="B274" s="1"/>
      <c r="C274" s="1"/>
      <c r="D274" s="1"/>
      <c r="E274" s="1"/>
      <c r="F274" s="1"/>
      <c r="G274" s="1"/>
      <c r="H274" s="1"/>
      <c r="I274" s="1"/>
      <c r="J274" s="1"/>
      <c r="K274" s="1"/>
      <c r="L274" s="1"/>
      <c r="M274" s="1"/>
      <c r="N274" s="1"/>
      <c r="O274" s="1"/>
    </row>
  </sheetData>
  <conditionalFormatting sqref="C242:F242">
    <cfRule type="expression" dxfId="38" priority="1" stopIfTrue="1">
      <formula>OR($E$66&gt;$C$58,$E$66&gt;$E$58)</formula>
    </cfRule>
  </conditionalFormatting>
  <conditionalFormatting sqref="C241:F241">
    <cfRule type="expression" dxfId="37" priority="2" stopIfTrue="1">
      <formula>OR($C$65&gt;$C$58,$C$65&gt;$E$58)</formula>
    </cfRule>
  </conditionalFormatting>
  <conditionalFormatting sqref="H242:K242">
    <cfRule type="expression" dxfId="36" priority="3" stopIfTrue="1">
      <formula>OR($J$66&gt;$H$58,$J$66&gt;$J$58)</formula>
    </cfRule>
  </conditionalFormatting>
  <conditionalFormatting sqref="H241:K241">
    <cfRule type="expression" dxfId="35" priority="4" stopIfTrue="1">
      <formula>OR($H$65&gt;$H$58,$H$65&gt;$J$58)</formula>
    </cfRule>
  </conditionalFormatting>
  <pageMargins left="0.7" right="0.7" top="0.78740157499999996" bottom="0.78740157499999996" header="0.3" footer="0.3"/>
  <pageSetup paperSize="9"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F30"/>
  <sheetViews>
    <sheetView workbookViewId="0">
      <selection activeCell="J26" sqref="J26"/>
    </sheetView>
  </sheetViews>
  <sheetFormatPr baseColWidth="10" defaultRowHeight="12.75"/>
  <cols>
    <col min="1" max="1" width="11.42578125" style="816"/>
    <col min="2" max="2" width="19.28515625" style="816" customWidth="1"/>
    <col min="3" max="3" width="11.42578125" style="816"/>
    <col min="4" max="4" width="7.5703125" style="816" customWidth="1"/>
    <col min="5" max="257" width="11.42578125" style="816"/>
    <col min="258" max="258" width="19.28515625" style="816" customWidth="1"/>
    <col min="259" max="259" width="11.42578125" style="816"/>
    <col min="260" max="260" width="7.5703125" style="816" customWidth="1"/>
    <col min="261" max="513" width="11.42578125" style="816"/>
    <col min="514" max="514" width="19.28515625" style="816" customWidth="1"/>
    <col min="515" max="515" width="11.42578125" style="816"/>
    <col min="516" max="516" width="7.5703125" style="816" customWidth="1"/>
    <col min="517" max="769" width="11.42578125" style="816"/>
    <col min="770" max="770" width="19.28515625" style="816" customWidth="1"/>
    <col min="771" max="771" width="11.42578125" style="816"/>
    <col min="772" max="772" width="7.5703125" style="816" customWidth="1"/>
    <col min="773" max="1025" width="11.42578125" style="816"/>
    <col min="1026" max="1026" width="19.28515625" style="816" customWidth="1"/>
    <col min="1027" max="1027" width="11.42578125" style="816"/>
    <col min="1028" max="1028" width="7.5703125" style="816" customWidth="1"/>
    <col min="1029" max="1281" width="11.42578125" style="816"/>
    <col min="1282" max="1282" width="19.28515625" style="816" customWidth="1"/>
    <col min="1283" max="1283" width="11.42578125" style="816"/>
    <col min="1284" max="1284" width="7.5703125" style="816" customWidth="1"/>
    <col min="1285" max="1537" width="11.42578125" style="816"/>
    <col min="1538" max="1538" width="19.28515625" style="816" customWidth="1"/>
    <col min="1539" max="1539" width="11.42578125" style="816"/>
    <col min="1540" max="1540" width="7.5703125" style="816" customWidth="1"/>
    <col min="1541" max="1793" width="11.42578125" style="816"/>
    <col min="1794" max="1794" width="19.28515625" style="816" customWidth="1"/>
    <col min="1795" max="1795" width="11.42578125" style="816"/>
    <col min="1796" max="1796" width="7.5703125" style="816" customWidth="1"/>
    <col min="1797" max="2049" width="11.42578125" style="816"/>
    <col min="2050" max="2050" width="19.28515625" style="816" customWidth="1"/>
    <col min="2051" max="2051" width="11.42578125" style="816"/>
    <col min="2052" max="2052" width="7.5703125" style="816" customWidth="1"/>
    <col min="2053" max="2305" width="11.42578125" style="816"/>
    <col min="2306" max="2306" width="19.28515625" style="816" customWidth="1"/>
    <col min="2307" max="2307" width="11.42578125" style="816"/>
    <col min="2308" max="2308" width="7.5703125" style="816" customWidth="1"/>
    <col min="2309" max="2561" width="11.42578125" style="816"/>
    <col min="2562" max="2562" width="19.28515625" style="816" customWidth="1"/>
    <col min="2563" max="2563" width="11.42578125" style="816"/>
    <col min="2564" max="2564" width="7.5703125" style="816" customWidth="1"/>
    <col min="2565" max="2817" width="11.42578125" style="816"/>
    <col min="2818" max="2818" width="19.28515625" style="816" customWidth="1"/>
    <col min="2819" max="2819" width="11.42578125" style="816"/>
    <col min="2820" max="2820" width="7.5703125" style="816" customWidth="1"/>
    <col min="2821" max="3073" width="11.42578125" style="816"/>
    <col min="3074" max="3074" width="19.28515625" style="816" customWidth="1"/>
    <col min="3075" max="3075" width="11.42578125" style="816"/>
    <col min="3076" max="3076" width="7.5703125" style="816" customWidth="1"/>
    <col min="3077" max="3329" width="11.42578125" style="816"/>
    <col min="3330" max="3330" width="19.28515625" style="816" customWidth="1"/>
    <col min="3331" max="3331" width="11.42578125" style="816"/>
    <col min="3332" max="3332" width="7.5703125" style="816" customWidth="1"/>
    <col min="3333" max="3585" width="11.42578125" style="816"/>
    <col min="3586" max="3586" width="19.28515625" style="816" customWidth="1"/>
    <col min="3587" max="3587" width="11.42578125" style="816"/>
    <col min="3588" max="3588" width="7.5703125" style="816" customWidth="1"/>
    <col min="3589" max="3841" width="11.42578125" style="816"/>
    <col min="3842" max="3842" width="19.28515625" style="816" customWidth="1"/>
    <col min="3843" max="3843" width="11.42578125" style="816"/>
    <col min="3844" max="3844" width="7.5703125" style="816" customWidth="1"/>
    <col min="3845" max="4097" width="11.42578125" style="816"/>
    <col min="4098" max="4098" width="19.28515625" style="816" customWidth="1"/>
    <col min="4099" max="4099" width="11.42578125" style="816"/>
    <col min="4100" max="4100" width="7.5703125" style="816" customWidth="1"/>
    <col min="4101" max="4353" width="11.42578125" style="816"/>
    <col min="4354" max="4354" width="19.28515625" style="816" customWidth="1"/>
    <col min="4355" max="4355" width="11.42578125" style="816"/>
    <col min="4356" max="4356" width="7.5703125" style="816" customWidth="1"/>
    <col min="4357" max="4609" width="11.42578125" style="816"/>
    <col min="4610" max="4610" width="19.28515625" style="816" customWidth="1"/>
    <col min="4611" max="4611" width="11.42578125" style="816"/>
    <col min="4612" max="4612" width="7.5703125" style="816" customWidth="1"/>
    <col min="4613" max="4865" width="11.42578125" style="816"/>
    <col min="4866" max="4866" width="19.28515625" style="816" customWidth="1"/>
    <col min="4867" max="4867" width="11.42578125" style="816"/>
    <col min="4868" max="4868" width="7.5703125" style="816" customWidth="1"/>
    <col min="4869" max="5121" width="11.42578125" style="816"/>
    <col min="5122" max="5122" width="19.28515625" style="816" customWidth="1"/>
    <col min="5123" max="5123" width="11.42578125" style="816"/>
    <col min="5124" max="5124" width="7.5703125" style="816" customWidth="1"/>
    <col min="5125" max="5377" width="11.42578125" style="816"/>
    <col min="5378" max="5378" width="19.28515625" style="816" customWidth="1"/>
    <col min="5379" max="5379" width="11.42578125" style="816"/>
    <col min="5380" max="5380" width="7.5703125" style="816" customWidth="1"/>
    <col min="5381" max="5633" width="11.42578125" style="816"/>
    <col min="5634" max="5634" width="19.28515625" style="816" customWidth="1"/>
    <col min="5635" max="5635" width="11.42578125" style="816"/>
    <col min="5636" max="5636" width="7.5703125" style="816" customWidth="1"/>
    <col min="5637" max="5889" width="11.42578125" style="816"/>
    <col min="5890" max="5890" width="19.28515625" style="816" customWidth="1"/>
    <col min="5891" max="5891" width="11.42578125" style="816"/>
    <col min="5892" max="5892" width="7.5703125" style="816" customWidth="1"/>
    <col min="5893" max="6145" width="11.42578125" style="816"/>
    <col min="6146" max="6146" width="19.28515625" style="816" customWidth="1"/>
    <col min="6147" max="6147" width="11.42578125" style="816"/>
    <col min="6148" max="6148" width="7.5703125" style="816" customWidth="1"/>
    <col min="6149" max="6401" width="11.42578125" style="816"/>
    <col min="6402" max="6402" width="19.28515625" style="816" customWidth="1"/>
    <col min="6403" max="6403" width="11.42578125" style="816"/>
    <col min="6404" max="6404" width="7.5703125" style="816" customWidth="1"/>
    <col min="6405" max="6657" width="11.42578125" style="816"/>
    <col min="6658" max="6658" width="19.28515625" style="816" customWidth="1"/>
    <col min="6659" max="6659" width="11.42578125" style="816"/>
    <col min="6660" max="6660" width="7.5703125" style="816" customWidth="1"/>
    <col min="6661" max="6913" width="11.42578125" style="816"/>
    <col min="6914" max="6914" width="19.28515625" style="816" customWidth="1"/>
    <col min="6915" max="6915" width="11.42578125" style="816"/>
    <col min="6916" max="6916" width="7.5703125" style="816" customWidth="1"/>
    <col min="6917" max="7169" width="11.42578125" style="816"/>
    <col min="7170" max="7170" width="19.28515625" style="816" customWidth="1"/>
    <col min="7171" max="7171" width="11.42578125" style="816"/>
    <col min="7172" max="7172" width="7.5703125" style="816" customWidth="1"/>
    <col min="7173" max="7425" width="11.42578125" style="816"/>
    <col min="7426" max="7426" width="19.28515625" style="816" customWidth="1"/>
    <col min="7427" max="7427" width="11.42578125" style="816"/>
    <col min="7428" max="7428" width="7.5703125" style="816" customWidth="1"/>
    <col min="7429" max="7681" width="11.42578125" style="816"/>
    <col min="7682" max="7682" width="19.28515625" style="816" customWidth="1"/>
    <col min="7683" max="7683" width="11.42578125" style="816"/>
    <col min="7684" max="7684" width="7.5703125" style="816" customWidth="1"/>
    <col min="7685" max="7937" width="11.42578125" style="816"/>
    <col min="7938" max="7938" width="19.28515625" style="816" customWidth="1"/>
    <col min="7939" max="7939" width="11.42578125" style="816"/>
    <col min="7940" max="7940" width="7.5703125" style="816" customWidth="1"/>
    <col min="7941" max="8193" width="11.42578125" style="816"/>
    <col min="8194" max="8194" width="19.28515625" style="816" customWidth="1"/>
    <col min="8195" max="8195" width="11.42578125" style="816"/>
    <col min="8196" max="8196" width="7.5703125" style="816" customWidth="1"/>
    <col min="8197" max="8449" width="11.42578125" style="816"/>
    <col min="8450" max="8450" width="19.28515625" style="816" customWidth="1"/>
    <col min="8451" max="8451" width="11.42578125" style="816"/>
    <col min="8452" max="8452" width="7.5703125" style="816" customWidth="1"/>
    <col min="8453" max="8705" width="11.42578125" style="816"/>
    <col min="8706" max="8706" width="19.28515625" style="816" customWidth="1"/>
    <col min="8707" max="8707" width="11.42578125" style="816"/>
    <col min="8708" max="8708" width="7.5703125" style="816" customWidth="1"/>
    <col min="8709" max="8961" width="11.42578125" style="816"/>
    <col min="8962" max="8962" width="19.28515625" style="816" customWidth="1"/>
    <col min="8963" max="8963" width="11.42578125" style="816"/>
    <col min="8964" max="8964" width="7.5703125" style="816" customWidth="1"/>
    <col min="8965" max="9217" width="11.42578125" style="816"/>
    <col min="9218" max="9218" width="19.28515625" style="816" customWidth="1"/>
    <col min="9219" max="9219" width="11.42578125" style="816"/>
    <col min="9220" max="9220" width="7.5703125" style="816" customWidth="1"/>
    <col min="9221" max="9473" width="11.42578125" style="816"/>
    <col min="9474" max="9474" width="19.28515625" style="816" customWidth="1"/>
    <col min="9475" max="9475" width="11.42578125" style="816"/>
    <col min="9476" max="9476" width="7.5703125" style="816" customWidth="1"/>
    <col min="9477" max="9729" width="11.42578125" style="816"/>
    <col min="9730" max="9730" width="19.28515625" style="816" customWidth="1"/>
    <col min="9731" max="9731" width="11.42578125" style="816"/>
    <col min="9732" max="9732" width="7.5703125" style="816" customWidth="1"/>
    <col min="9733" max="9985" width="11.42578125" style="816"/>
    <col min="9986" max="9986" width="19.28515625" style="816" customWidth="1"/>
    <col min="9987" max="9987" width="11.42578125" style="816"/>
    <col min="9988" max="9988" width="7.5703125" style="816" customWidth="1"/>
    <col min="9989" max="10241" width="11.42578125" style="816"/>
    <col min="10242" max="10242" width="19.28515625" style="816" customWidth="1"/>
    <col min="10243" max="10243" width="11.42578125" style="816"/>
    <col min="10244" max="10244" width="7.5703125" style="816" customWidth="1"/>
    <col min="10245" max="10497" width="11.42578125" style="816"/>
    <col min="10498" max="10498" width="19.28515625" style="816" customWidth="1"/>
    <col min="10499" max="10499" width="11.42578125" style="816"/>
    <col min="10500" max="10500" width="7.5703125" style="816" customWidth="1"/>
    <col min="10501" max="10753" width="11.42578125" style="816"/>
    <col min="10754" max="10754" width="19.28515625" style="816" customWidth="1"/>
    <col min="10755" max="10755" width="11.42578125" style="816"/>
    <col min="10756" max="10756" width="7.5703125" style="816" customWidth="1"/>
    <col min="10757" max="11009" width="11.42578125" style="816"/>
    <col min="11010" max="11010" width="19.28515625" style="816" customWidth="1"/>
    <col min="11011" max="11011" width="11.42578125" style="816"/>
    <col min="11012" max="11012" width="7.5703125" style="816" customWidth="1"/>
    <col min="11013" max="11265" width="11.42578125" style="816"/>
    <col min="11266" max="11266" width="19.28515625" style="816" customWidth="1"/>
    <col min="11267" max="11267" width="11.42578125" style="816"/>
    <col min="11268" max="11268" width="7.5703125" style="816" customWidth="1"/>
    <col min="11269" max="11521" width="11.42578125" style="816"/>
    <col min="11522" max="11522" width="19.28515625" style="816" customWidth="1"/>
    <col min="11523" max="11523" width="11.42578125" style="816"/>
    <col min="11524" max="11524" width="7.5703125" style="816" customWidth="1"/>
    <col min="11525" max="11777" width="11.42578125" style="816"/>
    <col min="11778" max="11778" width="19.28515625" style="816" customWidth="1"/>
    <col min="11779" max="11779" width="11.42578125" style="816"/>
    <col min="11780" max="11780" width="7.5703125" style="816" customWidth="1"/>
    <col min="11781" max="12033" width="11.42578125" style="816"/>
    <col min="12034" max="12034" width="19.28515625" style="816" customWidth="1"/>
    <col min="12035" max="12035" width="11.42578125" style="816"/>
    <col min="12036" max="12036" width="7.5703125" style="816" customWidth="1"/>
    <col min="12037" max="12289" width="11.42578125" style="816"/>
    <col min="12290" max="12290" width="19.28515625" style="816" customWidth="1"/>
    <col min="12291" max="12291" width="11.42578125" style="816"/>
    <col min="12292" max="12292" width="7.5703125" style="816" customWidth="1"/>
    <col min="12293" max="12545" width="11.42578125" style="816"/>
    <col min="12546" max="12546" width="19.28515625" style="816" customWidth="1"/>
    <col min="12547" max="12547" width="11.42578125" style="816"/>
    <col min="12548" max="12548" width="7.5703125" style="816" customWidth="1"/>
    <col min="12549" max="12801" width="11.42578125" style="816"/>
    <col min="12802" max="12802" width="19.28515625" style="816" customWidth="1"/>
    <col min="12803" max="12803" width="11.42578125" style="816"/>
    <col min="12804" max="12804" width="7.5703125" style="816" customWidth="1"/>
    <col min="12805" max="13057" width="11.42578125" style="816"/>
    <col min="13058" max="13058" width="19.28515625" style="816" customWidth="1"/>
    <col min="13059" max="13059" width="11.42578125" style="816"/>
    <col min="13060" max="13060" width="7.5703125" style="816" customWidth="1"/>
    <col min="13061" max="13313" width="11.42578125" style="816"/>
    <col min="13314" max="13314" width="19.28515625" style="816" customWidth="1"/>
    <col min="13315" max="13315" width="11.42578125" style="816"/>
    <col min="13316" max="13316" width="7.5703125" style="816" customWidth="1"/>
    <col min="13317" max="13569" width="11.42578125" style="816"/>
    <col min="13570" max="13570" width="19.28515625" style="816" customWidth="1"/>
    <col min="13571" max="13571" width="11.42578125" style="816"/>
    <col min="13572" max="13572" width="7.5703125" style="816" customWidth="1"/>
    <col min="13573" max="13825" width="11.42578125" style="816"/>
    <col min="13826" max="13826" width="19.28515625" style="816" customWidth="1"/>
    <col min="13827" max="13827" width="11.42578125" style="816"/>
    <col min="13828" max="13828" width="7.5703125" style="816" customWidth="1"/>
    <col min="13829" max="14081" width="11.42578125" style="816"/>
    <col min="14082" max="14082" width="19.28515625" style="816" customWidth="1"/>
    <col min="14083" max="14083" width="11.42578125" style="816"/>
    <col min="14084" max="14084" width="7.5703125" style="816" customWidth="1"/>
    <col min="14085" max="14337" width="11.42578125" style="816"/>
    <col min="14338" max="14338" width="19.28515625" style="816" customWidth="1"/>
    <col min="14339" max="14339" width="11.42578125" style="816"/>
    <col min="14340" max="14340" width="7.5703125" style="816" customWidth="1"/>
    <col min="14341" max="14593" width="11.42578125" style="816"/>
    <col min="14594" max="14594" width="19.28515625" style="816" customWidth="1"/>
    <col min="14595" max="14595" width="11.42578125" style="816"/>
    <col min="14596" max="14596" width="7.5703125" style="816" customWidth="1"/>
    <col min="14597" max="14849" width="11.42578125" style="816"/>
    <col min="14850" max="14850" width="19.28515625" style="816" customWidth="1"/>
    <col min="14851" max="14851" width="11.42578125" style="816"/>
    <col min="14852" max="14852" width="7.5703125" style="816" customWidth="1"/>
    <col min="14853" max="15105" width="11.42578125" style="816"/>
    <col min="15106" max="15106" width="19.28515625" style="816" customWidth="1"/>
    <col min="15107" max="15107" width="11.42578125" style="816"/>
    <col min="15108" max="15108" width="7.5703125" style="816" customWidth="1"/>
    <col min="15109" max="15361" width="11.42578125" style="816"/>
    <col min="15362" max="15362" width="19.28515625" style="816" customWidth="1"/>
    <col min="15363" max="15363" width="11.42578125" style="816"/>
    <col min="15364" max="15364" width="7.5703125" style="816" customWidth="1"/>
    <col min="15365" max="15617" width="11.42578125" style="816"/>
    <col min="15618" max="15618" width="19.28515625" style="816" customWidth="1"/>
    <col min="15619" max="15619" width="11.42578125" style="816"/>
    <col min="15620" max="15620" width="7.5703125" style="816" customWidth="1"/>
    <col min="15621" max="15873" width="11.42578125" style="816"/>
    <col min="15874" max="15874" width="19.28515625" style="816" customWidth="1"/>
    <col min="15875" max="15875" width="11.42578125" style="816"/>
    <col min="15876" max="15876" width="7.5703125" style="816" customWidth="1"/>
    <col min="15877" max="16129" width="11.42578125" style="816"/>
    <col min="16130" max="16130" width="19.28515625" style="816" customWidth="1"/>
    <col min="16131" max="16131" width="11.42578125" style="816"/>
    <col min="16132" max="16132" width="7.5703125" style="816" customWidth="1"/>
    <col min="16133" max="16384" width="11.42578125" style="816"/>
  </cols>
  <sheetData>
    <row r="2" spans="2:2">
      <c r="B2" s="1572" t="s">
        <v>4460</v>
      </c>
    </row>
    <row r="3" spans="2:2">
      <c r="B3" s="816" t="s">
        <v>4461</v>
      </c>
    </row>
    <row r="4" spans="2:2">
      <c r="B4" s="816" t="s">
        <v>4462</v>
      </c>
    </row>
    <row r="5" spans="2:2">
      <c r="B5" s="816" t="s">
        <v>4463</v>
      </c>
    </row>
    <row r="6" spans="2:2">
      <c r="B6" s="816" t="s">
        <v>4464</v>
      </c>
    </row>
    <row r="7" spans="2:2">
      <c r="B7" s="816" t="s">
        <v>4465</v>
      </c>
    </row>
    <row r="21" spans="2:6">
      <c r="B21" s="817" t="s">
        <v>1773</v>
      </c>
      <c r="C21" s="1549">
        <v>5</v>
      </c>
      <c r="D21" s="816" t="s">
        <v>212</v>
      </c>
      <c r="E21" s="1549">
        <v>5</v>
      </c>
      <c r="F21" s="816" t="s">
        <v>212</v>
      </c>
    </row>
    <row r="22" spans="2:6">
      <c r="B22" s="817" t="s">
        <v>4410</v>
      </c>
      <c r="C22" s="1549">
        <v>300</v>
      </c>
      <c r="D22" s="816" t="s">
        <v>212</v>
      </c>
      <c r="E22" s="1549">
        <v>300</v>
      </c>
      <c r="F22" s="816" t="s">
        <v>212</v>
      </c>
    </row>
    <row r="23" spans="2:6">
      <c r="B23" s="817" t="s">
        <v>4411</v>
      </c>
      <c r="C23" s="1549">
        <v>600</v>
      </c>
      <c r="D23" s="816" t="s">
        <v>212</v>
      </c>
      <c r="E23" s="1549">
        <v>600</v>
      </c>
      <c r="F23" s="816" t="s">
        <v>212</v>
      </c>
    </row>
    <row r="24" spans="2:6">
      <c r="B24" s="817" t="s">
        <v>3342</v>
      </c>
      <c r="C24" s="1549">
        <v>0.01</v>
      </c>
      <c r="D24" s="816" t="s">
        <v>212</v>
      </c>
      <c r="E24" s="1549">
        <v>3.0000000000000001E-3</v>
      </c>
      <c r="F24" s="816" t="s">
        <v>212</v>
      </c>
    </row>
    <row r="25" spans="2:6">
      <c r="B25" s="817"/>
    </row>
    <row r="26" spans="2:6">
      <c r="B26" s="817" t="s">
        <v>124</v>
      </c>
      <c r="C26" s="1551">
        <v>2.0833333333333335</v>
      </c>
      <c r="D26" s="1551"/>
      <c r="E26" s="1551">
        <v>6.9444444444444446</v>
      </c>
    </row>
    <row r="27" spans="2:6">
      <c r="B27" s="817"/>
    </row>
    <row r="28" spans="2:6">
      <c r="B28" s="817" t="s">
        <v>4466</v>
      </c>
      <c r="C28" s="816">
        <v>400</v>
      </c>
      <c r="D28" s="816" t="s">
        <v>212</v>
      </c>
      <c r="E28" s="816">
        <v>400</v>
      </c>
      <c r="F28" s="816" t="s">
        <v>212</v>
      </c>
    </row>
    <row r="29" spans="2:6">
      <c r="B29" s="817"/>
    </row>
    <row r="30" spans="2:6">
      <c r="B30" s="817"/>
    </row>
  </sheetData>
  <pageMargins left="0.78740157499999996" right="0.78740157499999996" top="0.984251969" bottom="0.984251969" header="0.4921259845" footer="0.4921259845"/>
  <pageSetup paperSize="9" orientation="portrait" r:id="rId1"/>
  <headerFooter alignWithMargins="0"/>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D28"/>
  <sheetViews>
    <sheetView workbookViewId="0">
      <selection activeCell="J26" sqref="J26"/>
    </sheetView>
  </sheetViews>
  <sheetFormatPr baseColWidth="10" defaultRowHeight="12.75"/>
  <cols>
    <col min="1" max="1" width="11.42578125" style="816"/>
    <col min="2" max="2" width="30.140625" style="1570" customWidth="1"/>
    <col min="3" max="3" width="6.85546875" style="816" customWidth="1"/>
    <col min="4" max="257" width="11.42578125" style="816"/>
    <col min="258" max="258" width="30.140625" style="816" customWidth="1"/>
    <col min="259" max="259" width="6.85546875" style="816" customWidth="1"/>
    <col min="260" max="513" width="11.42578125" style="816"/>
    <col min="514" max="514" width="30.140625" style="816" customWidth="1"/>
    <col min="515" max="515" width="6.85546875" style="816" customWidth="1"/>
    <col min="516" max="769" width="11.42578125" style="816"/>
    <col min="770" max="770" width="30.140625" style="816" customWidth="1"/>
    <col min="771" max="771" width="6.85546875" style="816" customWidth="1"/>
    <col min="772" max="1025" width="11.42578125" style="816"/>
    <col min="1026" max="1026" width="30.140625" style="816" customWidth="1"/>
    <col min="1027" max="1027" width="6.85546875" style="816" customWidth="1"/>
    <col min="1028" max="1281" width="11.42578125" style="816"/>
    <col min="1282" max="1282" width="30.140625" style="816" customWidth="1"/>
    <col min="1283" max="1283" width="6.85546875" style="816" customWidth="1"/>
    <col min="1284" max="1537" width="11.42578125" style="816"/>
    <col min="1538" max="1538" width="30.140625" style="816" customWidth="1"/>
    <col min="1539" max="1539" width="6.85546875" style="816" customWidth="1"/>
    <col min="1540" max="1793" width="11.42578125" style="816"/>
    <col min="1794" max="1794" width="30.140625" style="816" customWidth="1"/>
    <col min="1795" max="1795" width="6.85546875" style="816" customWidth="1"/>
    <col min="1796" max="2049" width="11.42578125" style="816"/>
    <col min="2050" max="2050" width="30.140625" style="816" customWidth="1"/>
    <col min="2051" max="2051" width="6.85546875" style="816" customWidth="1"/>
    <col min="2052" max="2305" width="11.42578125" style="816"/>
    <col min="2306" max="2306" width="30.140625" style="816" customWidth="1"/>
    <col min="2307" max="2307" width="6.85546875" style="816" customWidth="1"/>
    <col min="2308" max="2561" width="11.42578125" style="816"/>
    <col min="2562" max="2562" width="30.140625" style="816" customWidth="1"/>
    <col min="2563" max="2563" width="6.85546875" style="816" customWidth="1"/>
    <col min="2564" max="2817" width="11.42578125" style="816"/>
    <col min="2818" max="2818" width="30.140625" style="816" customWidth="1"/>
    <col min="2819" max="2819" width="6.85546875" style="816" customWidth="1"/>
    <col min="2820" max="3073" width="11.42578125" style="816"/>
    <col min="3074" max="3074" width="30.140625" style="816" customWidth="1"/>
    <col min="3075" max="3075" width="6.85546875" style="816" customWidth="1"/>
    <col min="3076" max="3329" width="11.42578125" style="816"/>
    <col min="3330" max="3330" width="30.140625" style="816" customWidth="1"/>
    <col min="3331" max="3331" width="6.85546875" style="816" customWidth="1"/>
    <col min="3332" max="3585" width="11.42578125" style="816"/>
    <col min="3586" max="3586" width="30.140625" style="816" customWidth="1"/>
    <col min="3587" max="3587" width="6.85546875" style="816" customWidth="1"/>
    <col min="3588" max="3841" width="11.42578125" style="816"/>
    <col min="3842" max="3842" width="30.140625" style="816" customWidth="1"/>
    <col min="3843" max="3843" width="6.85546875" style="816" customWidth="1"/>
    <col min="3844" max="4097" width="11.42578125" style="816"/>
    <col min="4098" max="4098" width="30.140625" style="816" customWidth="1"/>
    <col min="4099" max="4099" width="6.85546875" style="816" customWidth="1"/>
    <col min="4100" max="4353" width="11.42578125" style="816"/>
    <col min="4354" max="4354" width="30.140625" style="816" customWidth="1"/>
    <col min="4355" max="4355" width="6.85546875" style="816" customWidth="1"/>
    <col min="4356" max="4609" width="11.42578125" style="816"/>
    <col min="4610" max="4610" width="30.140625" style="816" customWidth="1"/>
    <col min="4611" max="4611" width="6.85546875" style="816" customWidth="1"/>
    <col min="4612" max="4865" width="11.42578125" style="816"/>
    <col min="4866" max="4866" width="30.140625" style="816" customWidth="1"/>
    <col min="4867" max="4867" width="6.85546875" style="816" customWidth="1"/>
    <col min="4868" max="5121" width="11.42578125" style="816"/>
    <col min="5122" max="5122" width="30.140625" style="816" customWidth="1"/>
    <col min="5123" max="5123" width="6.85546875" style="816" customWidth="1"/>
    <col min="5124" max="5377" width="11.42578125" style="816"/>
    <col min="5378" max="5378" width="30.140625" style="816" customWidth="1"/>
    <col min="5379" max="5379" width="6.85546875" style="816" customWidth="1"/>
    <col min="5380" max="5633" width="11.42578125" style="816"/>
    <col min="5634" max="5634" width="30.140625" style="816" customWidth="1"/>
    <col min="5635" max="5635" width="6.85546875" style="816" customWidth="1"/>
    <col min="5636" max="5889" width="11.42578125" style="816"/>
    <col min="5890" max="5890" width="30.140625" style="816" customWidth="1"/>
    <col min="5891" max="5891" width="6.85546875" style="816" customWidth="1"/>
    <col min="5892" max="6145" width="11.42578125" style="816"/>
    <col min="6146" max="6146" width="30.140625" style="816" customWidth="1"/>
    <col min="6147" max="6147" width="6.85546875" style="816" customWidth="1"/>
    <col min="6148" max="6401" width="11.42578125" style="816"/>
    <col min="6402" max="6402" width="30.140625" style="816" customWidth="1"/>
    <col min="6403" max="6403" width="6.85546875" style="816" customWidth="1"/>
    <col min="6404" max="6657" width="11.42578125" style="816"/>
    <col min="6658" max="6658" width="30.140625" style="816" customWidth="1"/>
    <col min="6659" max="6659" width="6.85546875" style="816" customWidth="1"/>
    <col min="6660" max="6913" width="11.42578125" style="816"/>
    <col min="6914" max="6914" width="30.140625" style="816" customWidth="1"/>
    <col min="6915" max="6915" width="6.85546875" style="816" customWidth="1"/>
    <col min="6916" max="7169" width="11.42578125" style="816"/>
    <col min="7170" max="7170" width="30.140625" style="816" customWidth="1"/>
    <col min="7171" max="7171" width="6.85546875" style="816" customWidth="1"/>
    <col min="7172" max="7425" width="11.42578125" style="816"/>
    <col min="7426" max="7426" width="30.140625" style="816" customWidth="1"/>
    <col min="7427" max="7427" width="6.85546875" style="816" customWidth="1"/>
    <col min="7428" max="7681" width="11.42578125" style="816"/>
    <col min="7682" max="7682" width="30.140625" style="816" customWidth="1"/>
    <col min="7683" max="7683" width="6.85546875" style="816" customWidth="1"/>
    <col min="7684" max="7937" width="11.42578125" style="816"/>
    <col min="7938" max="7938" width="30.140625" style="816" customWidth="1"/>
    <col min="7939" max="7939" width="6.85546875" style="816" customWidth="1"/>
    <col min="7940" max="8193" width="11.42578125" style="816"/>
    <col min="8194" max="8194" width="30.140625" style="816" customWidth="1"/>
    <col min="8195" max="8195" width="6.85546875" style="816" customWidth="1"/>
    <col min="8196" max="8449" width="11.42578125" style="816"/>
    <col min="8450" max="8450" width="30.140625" style="816" customWidth="1"/>
    <col min="8451" max="8451" width="6.85546875" style="816" customWidth="1"/>
    <col min="8452" max="8705" width="11.42578125" style="816"/>
    <col min="8706" max="8706" width="30.140625" style="816" customWidth="1"/>
    <col min="8707" max="8707" width="6.85546875" style="816" customWidth="1"/>
    <col min="8708" max="8961" width="11.42578125" style="816"/>
    <col min="8962" max="8962" width="30.140625" style="816" customWidth="1"/>
    <col min="8963" max="8963" width="6.85546875" style="816" customWidth="1"/>
    <col min="8964" max="9217" width="11.42578125" style="816"/>
    <col min="9218" max="9218" width="30.140625" style="816" customWidth="1"/>
    <col min="9219" max="9219" width="6.85546875" style="816" customWidth="1"/>
    <col min="9220" max="9473" width="11.42578125" style="816"/>
    <col min="9474" max="9474" width="30.140625" style="816" customWidth="1"/>
    <col min="9475" max="9475" width="6.85546875" style="816" customWidth="1"/>
    <col min="9476" max="9729" width="11.42578125" style="816"/>
    <col min="9730" max="9730" width="30.140625" style="816" customWidth="1"/>
    <col min="9731" max="9731" width="6.85546875" style="816" customWidth="1"/>
    <col min="9732" max="9985" width="11.42578125" style="816"/>
    <col min="9986" max="9986" width="30.140625" style="816" customWidth="1"/>
    <col min="9987" max="9987" width="6.85546875" style="816" customWidth="1"/>
    <col min="9988" max="10241" width="11.42578125" style="816"/>
    <col min="10242" max="10242" width="30.140625" style="816" customWidth="1"/>
    <col min="10243" max="10243" width="6.85546875" style="816" customWidth="1"/>
    <col min="10244" max="10497" width="11.42578125" style="816"/>
    <col min="10498" max="10498" width="30.140625" style="816" customWidth="1"/>
    <col min="10499" max="10499" width="6.85546875" style="816" customWidth="1"/>
    <col min="10500" max="10753" width="11.42578125" style="816"/>
    <col min="10754" max="10754" width="30.140625" style="816" customWidth="1"/>
    <col min="10755" max="10755" width="6.85546875" style="816" customWidth="1"/>
    <col min="10756" max="11009" width="11.42578125" style="816"/>
    <col min="11010" max="11010" width="30.140625" style="816" customWidth="1"/>
    <col min="11011" max="11011" width="6.85546875" style="816" customWidth="1"/>
    <col min="11012" max="11265" width="11.42578125" style="816"/>
    <col min="11266" max="11266" width="30.140625" style="816" customWidth="1"/>
    <col min="11267" max="11267" width="6.85546875" style="816" customWidth="1"/>
    <col min="11268" max="11521" width="11.42578125" style="816"/>
    <col min="11522" max="11522" width="30.140625" style="816" customWidth="1"/>
    <col min="11523" max="11523" width="6.85546875" style="816" customWidth="1"/>
    <col min="11524" max="11777" width="11.42578125" style="816"/>
    <col min="11778" max="11778" width="30.140625" style="816" customWidth="1"/>
    <col min="11779" max="11779" width="6.85546875" style="816" customWidth="1"/>
    <col min="11780" max="12033" width="11.42578125" style="816"/>
    <col min="12034" max="12034" width="30.140625" style="816" customWidth="1"/>
    <col min="12035" max="12035" width="6.85546875" style="816" customWidth="1"/>
    <col min="12036" max="12289" width="11.42578125" style="816"/>
    <col min="12290" max="12290" width="30.140625" style="816" customWidth="1"/>
    <col min="12291" max="12291" width="6.85546875" style="816" customWidth="1"/>
    <col min="12292" max="12545" width="11.42578125" style="816"/>
    <col min="12546" max="12546" width="30.140625" style="816" customWidth="1"/>
    <col min="12547" max="12547" width="6.85546875" style="816" customWidth="1"/>
    <col min="12548" max="12801" width="11.42578125" style="816"/>
    <col min="12802" max="12802" width="30.140625" style="816" customWidth="1"/>
    <col min="12803" max="12803" width="6.85546875" style="816" customWidth="1"/>
    <col min="12804" max="13057" width="11.42578125" style="816"/>
    <col min="13058" max="13058" width="30.140625" style="816" customWidth="1"/>
    <col min="13059" max="13059" width="6.85546875" style="816" customWidth="1"/>
    <col min="13060" max="13313" width="11.42578125" style="816"/>
    <col min="13314" max="13314" width="30.140625" style="816" customWidth="1"/>
    <col min="13315" max="13315" width="6.85546875" style="816" customWidth="1"/>
    <col min="13316" max="13569" width="11.42578125" style="816"/>
    <col min="13570" max="13570" width="30.140625" style="816" customWidth="1"/>
    <col min="13571" max="13571" width="6.85546875" style="816" customWidth="1"/>
    <col min="13572" max="13825" width="11.42578125" style="816"/>
    <col min="13826" max="13826" width="30.140625" style="816" customWidth="1"/>
    <col min="13827" max="13827" width="6.85546875" style="816" customWidth="1"/>
    <col min="13828" max="14081" width="11.42578125" style="816"/>
    <col min="14082" max="14082" width="30.140625" style="816" customWidth="1"/>
    <col min="14083" max="14083" width="6.85546875" style="816" customWidth="1"/>
    <col min="14084" max="14337" width="11.42578125" style="816"/>
    <col min="14338" max="14338" width="30.140625" style="816" customWidth="1"/>
    <col min="14339" max="14339" width="6.85546875" style="816" customWidth="1"/>
    <col min="14340" max="14593" width="11.42578125" style="816"/>
    <col min="14594" max="14594" width="30.140625" style="816" customWidth="1"/>
    <col min="14595" max="14595" width="6.85546875" style="816" customWidth="1"/>
    <col min="14596" max="14849" width="11.42578125" style="816"/>
    <col min="14850" max="14850" width="30.140625" style="816" customWidth="1"/>
    <col min="14851" max="14851" width="6.85546875" style="816" customWidth="1"/>
    <col min="14852" max="15105" width="11.42578125" style="816"/>
    <col min="15106" max="15106" width="30.140625" style="816" customWidth="1"/>
    <col min="15107" max="15107" width="6.85546875" style="816" customWidth="1"/>
    <col min="15108" max="15361" width="11.42578125" style="816"/>
    <col min="15362" max="15362" width="30.140625" style="816" customWidth="1"/>
    <col min="15363" max="15363" width="6.85546875" style="816" customWidth="1"/>
    <col min="15364" max="15617" width="11.42578125" style="816"/>
    <col min="15618" max="15618" width="30.140625" style="816" customWidth="1"/>
    <col min="15619" max="15619" width="6.85546875" style="816" customWidth="1"/>
    <col min="15620" max="15873" width="11.42578125" style="816"/>
    <col min="15874" max="15874" width="30.140625" style="816" customWidth="1"/>
    <col min="15875" max="15875" width="6.85546875" style="816" customWidth="1"/>
    <col min="15876" max="16129" width="11.42578125" style="816"/>
    <col min="16130" max="16130" width="30.140625" style="816" customWidth="1"/>
    <col min="16131" max="16131" width="6.85546875" style="816" customWidth="1"/>
    <col min="16132" max="16384" width="11.42578125" style="816"/>
  </cols>
  <sheetData>
    <row r="2" spans="2:2">
      <c r="B2" s="1570" t="s">
        <v>4467</v>
      </c>
    </row>
    <row r="3" spans="2:2">
      <c r="B3" s="1570" t="s">
        <v>4468</v>
      </c>
    </row>
    <row r="4" spans="2:2">
      <c r="B4" s="1570" t="s">
        <v>4469</v>
      </c>
    </row>
    <row r="5" spans="2:2">
      <c r="B5" s="1570" t="s">
        <v>4470</v>
      </c>
    </row>
    <row r="17" spans="2:4">
      <c r="B17" s="817"/>
    </row>
    <row r="18" spans="2:4">
      <c r="B18" s="817" t="s">
        <v>1773</v>
      </c>
      <c r="C18" s="1549">
        <v>80</v>
      </c>
      <c r="D18" s="816" t="s">
        <v>344</v>
      </c>
    </row>
    <row r="19" spans="2:4">
      <c r="B19" s="817" t="s">
        <v>4410</v>
      </c>
      <c r="C19" s="1549">
        <v>2000</v>
      </c>
      <c r="D19" s="816" t="s">
        <v>344</v>
      </c>
    </row>
    <row r="20" spans="2:4">
      <c r="B20" s="817" t="s">
        <v>3342</v>
      </c>
      <c r="C20" s="1549">
        <v>0.1</v>
      </c>
      <c r="D20" s="816" t="s">
        <v>344</v>
      </c>
    </row>
    <row r="21" spans="2:4">
      <c r="B21" s="817" t="s">
        <v>4471</v>
      </c>
      <c r="C21" s="1549">
        <v>4000</v>
      </c>
      <c r="D21" s="816" t="s">
        <v>344</v>
      </c>
    </row>
    <row r="23" spans="2:4">
      <c r="B23" s="817" t="s">
        <v>4411</v>
      </c>
      <c r="C23" s="816">
        <v>6000</v>
      </c>
      <c r="D23" s="816" t="s">
        <v>344</v>
      </c>
    </row>
    <row r="25" spans="2:4">
      <c r="B25" s="817" t="s">
        <v>4472</v>
      </c>
      <c r="C25" s="816">
        <v>3000</v>
      </c>
      <c r="D25" s="816" t="s">
        <v>344</v>
      </c>
    </row>
    <row r="26" spans="2:4">
      <c r="B26" s="817"/>
    </row>
    <row r="27" spans="2:4">
      <c r="B27" s="817" t="s">
        <v>4473</v>
      </c>
      <c r="C27" s="816">
        <v>10.666666666666666</v>
      </c>
    </row>
    <row r="28" spans="2:4">
      <c r="B28" s="817"/>
    </row>
  </sheetData>
  <pageMargins left="0.78740157499999996" right="0.78740157499999996" top="0.984251969" bottom="0.984251969" header="0.4921259845" footer="0.4921259845"/>
  <pageSetup paperSize="9" orientation="portrait"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E27"/>
  <sheetViews>
    <sheetView workbookViewId="0">
      <selection activeCell="J26" sqref="J26"/>
    </sheetView>
  </sheetViews>
  <sheetFormatPr baseColWidth="10" defaultRowHeight="12.75"/>
  <cols>
    <col min="1" max="2" width="11.42578125" style="816"/>
    <col min="3" max="3" width="26.5703125" style="816" customWidth="1"/>
    <col min="4" max="4" width="8.140625" style="816" customWidth="1"/>
    <col min="5" max="258" width="11.42578125" style="816"/>
    <col min="259" max="259" width="26.5703125" style="816" customWidth="1"/>
    <col min="260" max="260" width="8.140625" style="816" customWidth="1"/>
    <col min="261" max="514" width="11.42578125" style="816"/>
    <col min="515" max="515" width="26.5703125" style="816" customWidth="1"/>
    <col min="516" max="516" width="8.140625" style="816" customWidth="1"/>
    <col min="517" max="770" width="11.42578125" style="816"/>
    <col min="771" max="771" width="26.5703125" style="816" customWidth="1"/>
    <col min="772" max="772" width="8.140625" style="816" customWidth="1"/>
    <col min="773" max="1026" width="11.42578125" style="816"/>
    <col min="1027" max="1027" width="26.5703125" style="816" customWidth="1"/>
    <col min="1028" max="1028" width="8.140625" style="816" customWidth="1"/>
    <col min="1029" max="1282" width="11.42578125" style="816"/>
    <col min="1283" max="1283" width="26.5703125" style="816" customWidth="1"/>
    <col min="1284" max="1284" width="8.140625" style="816" customWidth="1"/>
    <col min="1285" max="1538" width="11.42578125" style="816"/>
    <col min="1539" max="1539" width="26.5703125" style="816" customWidth="1"/>
    <col min="1540" max="1540" width="8.140625" style="816" customWidth="1"/>
    <col min="1541" max="1794" width="11.42578125" style="816"/>
    <col min="1795" max="1795" width="26.5703125" style="816" customWidth="1"/>
    <col min="1796" max="1796" width="8.140625" style="816" customWidth="1"/>
    <col min="1797" max="2050" width="11.42578125" style="816"/>
    <col min="2051" max="2051" width="26.5703125" style="816" customWidth="1"/>
    <col min="2052" max="2052" width="8.140625" style="816" customWidth="1"/>
    <col min="2053" max="2306" width="11.42578125" style="816"/>
    <col min="2307" max="2307" width="26.5703125" style="816" customWidth="1"/>
    <col min="2308" max="2308" width="8.140625" style="816" customWidth="1"/>
    <col min="2309" max="2562" width="11.42578125" style="816"/>
    <col min="2563" max="2563" width="26.5703125" style="816" customWidth="1"/>
    <col min="2564" max="2564" width="8.140625" style="816" customWidth="1"/>
    <col min="2565" max="2818" width="11.42578125" style="816"/>
    <col min="2819" max="2819" width="26.5703125" style="816" customWidth="1"/>
    <col min="2820" max="2820" width="8.140625" style="816" customWidth="1"/>
    <col min="2821" max="3074" width="11.42578125" style="816"/>
    <col min="3075" max="3075" width="26.5703125" style="816" customWidth="1"/>
    <col min="3076" max="3076" width="8.140625" style="816" customWidth="1"/>
    <col min="3077" max="3330" width="11.42578125" style="816"/>
    <col min="3331" max="3331" width="26.5703125" style="816" customWidth="1"/>
    <col min="3332" max="3332" width="8.140625" style="816" customWidth="1"/>
    <col min="3333" max="3586" width="11.42578125" style="816"/>
    <col min="3587" max="3587" width="26.5703125" style="816" customWidth="1"/>
    <col min="3588" max="3588" width="8.140625" style="816" customWidth="1"/>
    <col min="3589" max="3842" width="11.42578125" style="816"/>
    <col min="3843" max="3843" width="26.5703125" style="816" customWidth="1"/>
    <col min="3844" max="3844" width="8.140625" style="816" customWidth="1"/>
    <col min="3845" max="4098" width="11.42578125" style="816"/>
    <col min="4099" max="4099" width="26.5703125" style="816" customWidth="1"/>
    <col min="4100" max="4100" width="8.140625" style="816" customWidth="1"/>
    <col min="4101" max="4354" width="11.42578125" style="816"/>
    <col min="4355" max="4355" width="26.5703125" style="816" customWidth="1"/>
    <col min="4356" max="4356" width="8.140625" style="816" customWidth="1"/>
    <col min="4357" max="4610" width="11.42578125" style="816"/>
    <col min="4611" max="4611" width="26.5703125" style="816" customWidth="1"/>
    <col min="4612" max="4612" width="8.140625" style="816" customWidth="1"/>
    <col min="4613" max="4866" width="11.42578125" style="816"/>
    <col min="4867" max="4867" width="26.5703125" style="816" customWidth="1"/>
    <col min="4868" max="4868" width="8.140625" style="816" customWidth="1"/>
    <col min="4869" max="5122" width="11.42578125" style="816"/>
    <col min="5123" max="5123" width="26.5703125" style="816" customWidth="1"/>
    <col min="5124" max="5124" width="8.140625" style="816" customWidth="1"/>
    <col min="5125" max="5378" width="11.42578125" style="816"/>
    <col min="5379" max="5379" width="26.5703125" style="816" customWidth="1"/>
    <col min="5380" max="5380" width="8.140625" style="816" customWidth="1"/>
    <col min="5381" max="5634" width="11.42578125" style="816"/>
    <col min="5635" max="5635" width="26.5703125" style="816" customWidth="1"/>
    <col min="5636" max="5636" width="8.140625" style="816" customWidth="1"/>
    <col min="5637" max="5890" width="11.42578125" style="816"/>
    <col min="5891" max="5891" width="26.5703125" style="816" customWidth="1"/>
    <col min="5892" max="5892" width="8.140625" style="816" customWidth="1"/>
    <col min="5893" max="6146" width="11.42578125" style="816"/>
    <col min="6147" max="6147" width="26.5703125" style="816" customWidth="1"/>
    <col min="6148" max="6148" width="8.140625" style="816" customWidth="1"/>
    <col min="6149" max="6402" width="11.42578125" style="816"/>
    <col min="6403" max="6403" width="26.5703125" style="816" customWidth="1"/>
    <col min="6404" max="6404" width="8.140625" style="816" customWidth="1"/>
    <col min="6405" max="6658" width="11.42578125" style="816"/>
    <col min="6659" max="6659" width="26.5703125" style="816" customWidth="1"/>
    <col min="6660" max="6660" width="8.140625" style="816" customWidth="1"/>
    <col min="6661" max="6914" width="11.42578125" style="816"/>
    <col min="6915" max="6915" width="26.5703125" style="816" customWidth="1"/>
    <col min="6916" max="6916" width="8.140625" style="816" customWidth="1"/>
    <col min="6917" max="7170" width="11.42578125" style="816"/>
    <col min="7171" max="7171" width="26.5703125" style="816" customWidth="1"/>
    <col min="7172" max="7172" width="8.140625" style="816" customWidth="1"/>
    <col min="7173" max="7426" width="11.42578125" style="816"/>
    <col min="7427" max="7427" width="26.5703125" style="816" customWidth="1"/>
    <col min="7428" max="7428" width="8.140625" style="816" customWidth="1"/>
    <col min="7429" max="7682" width="11.42578125" style="816"/>
    <col min="7683" max="7683" width="26.5703125" style="816" customWidth="1"/>
    <col min="7684" max="7684" width="8.140625" style="816" customWidth="1"/>
    <col min="7685" max="7938" width="11.42578125" style="816"/>
    <col min="7939" max="7939" width="26.5703125" style="816" customWidth="1"/>
    <col min="7940" max="7940" width="8.140625" style="816" customWidth="1"/>
    <col min="7941" max="8194" width="11.42578125" style="816"/>
    <col min="8195" max="8195" width="26.5703125" style="816" customWidth="1"/>
    <col min="8196" max="8196" width="8.140625" style="816" customWidth="1"/>
    <col min="8197" max="8450" width="11.42578125" style="816"/>
    <col min="8451" max="8451" width="26.5703125" style="816" customWidth="1"/>
    <col min="8452" max="8452" width="8.140625" style="816" customWidth="1"/>
    <col min="8453" max="8706" width="11.42578125" style="816"/>
    <col min="8707" max="8707" width="26.5703125" style="816" customWidth="1"/>
    <col min="8708" max="8708" width="8.140625" style="816" customWidth="1"/>
    <col min="8709" max="8962" width="11.42578125" style="816"/>
    <col min="8963" max="8963" width="26.5703125" style="816" customWidth="1"/>
    <col min="8964" max="8964" width="8.140625" style="816" customWidth="1"/>
    <col min="8965" max="9218" width="11.42578125" style="816"/>
    <col min="9219" max="9219" width="26.5703125" style="816" customWidth="1"/>
    <col min="9220" max="9220" width="8.140625" style="816" customWidth="1"/>
    <col min="9221" max="9474" width="11.42578125" style="816"/>
    <col min="9475" max="9475" width="26.5703125" style="816" customWidth="1"/>
    <col min="9476" max="9476" width="8.140625" style="816" customWidth="1"/>
    <col min="9477" max="9730" width="11.42578125" style="816"/>
    <col min="9731" max="9731" width="26.5703125" style="816" customWidth="1"/>
    <col min="9732" max="9732" width="8.140625" style="816" customWidth="1"/>
    <col min="9733" max="9986" width="11.42578125" style="816"/>
    <col min="9987" max="9987" width="26.5703125" style="816" customWidth="1"/>
    <col min="9988" max="9988" width="8.140625" style="816" customWidth="1"/>
    <col min="9989" max="10242" width="11.42578125" style="816"/>
    <col min="10243" max="10243" width="26.5703125" style="816" customWidth="1"/>
    <col min="10244" max="10244" width="8.140625" style="816" customWidth="1"/>
    <col min="10245" max="10498" width="11.42578125" style="816"/>
    <col min="10499" max="10499" width="26.5703125" style="816" customWidth="1"/>
    <col min="10500" max="10500" width="8.140625" style="816" customWidth="1"/>
    <col min="10501" max="10754" width="11.42578125" style="816"/>
    <col min="10755" max="10755" width="26.5703125" style="816" customWidth="1"/>
    <col min="10756" max="10756" width="8.140625" style="816" customWidth="1"/>
    <col min="10757" max="11010" width="11.42578125" style="816"/>
    <col min="11011" max="11011" width="26.5703125" style="816" customWidth="1"/>
    <col min="11012" max="11012" width="8.140625" style="816" customWidth="1"/>
    <col min="11013" max="11266" width="11.42578125" style="816"/>
    <col min="11267" max="11267" width="26.5703125" style="816" customWidth="1"/>
    <col min="11268" max="11268" width="8.140625" style="816" customWidth="1"/>
    <col min="11269" max="11522" width="11.42578125" style="816"/>
    <col min="11523" max="11523" width="26.5703125" style="816" customWidth="1"/>
    <col min="11524" max="11524" width="8.140625" style="816" customWidth="1"/>
    <col min="11525" max="11778" width="11.42578125" style="816"/>
    <col min="11779" max="11779" width="26.5703125" style="816" customWidth="1"/>
    <col min="11780" max="11780" width="8.140625" style="816" customWidth="1"/>
    <col min="11781" max="12034" width="11.42578125" style="816"/>
    <col min="12035" max="12035" width="26.5703125" style="816" customWidth="1"/>
    <col min="12036" max="12036" width="8.140625" style="816" customWidth="1"/>
    <col min="12037" max="12290" width="11.42578125" style="816"/>
    <col min="12291" max="12291" width="26.5703125" style="816" customWidth="1"/>
    <col min="12292" max="12292" width="8.140625" style="816" customWidth="1"/>
    <col min="12293" max="12546" width="11.42578125" style="816"/>
    <col min="12547" max="12547" width="26.5703125" style="816" customWidth="1"/>
    <col min="12548" max="12548" width="8.140625" style="816" customWidth="1"/>
    <col min="12549" max="12802" width="11.42578125" style="816"/>
    <col min="12803" max="12803" width="26.5703125" style="816" customWidth="1"/>
    <col min="12804" max="12804" width="8.140625" style="816" customWidth="1"/>
    <col min="12805" max="13058" width="11.42578125" style="816"/>
    <col min="13059" max="13059" width="26.5703125" style="816" customWidth="1"/>
    <col min="13060" max="13060" width="8.140625" style="816" customWidth="1"/>
    <col min="13061" max="13314" width="11.42578125" style="816"/>
    <col min="13315" max="13315" width="26.5703125" style="816" customWidth="1"/>
    <col min="13316" max="13316" width="8.140625" style="816" customWidth="1"/>
    <col min="13317" max="13570" width="11.42578125" style="816"/>
    <col min="13571" max="13571" width="26.5703125" style="816" customWidth="1"/>
    <col min="13572" max="13572" width="8.140625" style="816" customWidth="1"/>
    <col min="13573" max="13826" width="11.42578125" style="816"/>
    <col min="13827" max="13827" width="26.5703125" style="816" customWidth="1"/>
    <col min="13828" max="13828" width="8.140625" style="816" customWidth="1"/>
    <col min="13829" max="14082" width="11.42578125" style="816"/>
    <col min="14083" max="14083" width="26.5703125" style="816" customWidth="1"/>
    <col min="14084" max="14084" width="8.140625" style="816" customWidth="1"/>
    <col min="14085" max="14338" width="11.42578125" style="816"/>
    <col min="14339" max="14339" width="26.5703125" style="816" customWidth="1"/>
    <col min="14340" max="14340" width="8.140625" style="816" customWidth="1"/>
    <col min="14341" max="14594" width="11.42578125" style="816"/>
    <col min="14595" max="14595" width="26.5703125" style="816" customWidth="1"/>
    <col min="14596" max="14596" width="8.140625" style="816" customWidth="1"/>
    <col min="14597" max="14850" width="11.42578125" style="816"/>
    <col min="14851" max="14851" width="26.5703125" style="816" customWidth="1"/>
    <col min="14852" max="14852" width="8.140625" style="816" customWidth="1"/>
    <col min="14853" max="15106" width="11.42578125" style="816"/>
    <col min="15107" max="15107" width="26.5703125" style="816" customWidth="1"/>
    <col min="15108" max="15108" width="8.140625" style="816" customWidth="1"/>
    <col min="15109" max="15362" width="11.42578125" style="816"/>
    <col min="15363" max="15363" width="26.5703125" style="816" customWidth="1"/>
    <col min="15364" max="15364" width="8.140625" style="816" customWidth="1"/>
    <col min="15365" max="15618" width="11.42578125" style="816"/>
    <col min="15619" max="15619" width="26.5703125" style="816" customWidth="1"/>
    <col min="15620" max="15620" width="8.140625" style="816" customWidth="1"/>
    <col min="15621" max="15874" width="11.42578125" style="816"/>
    <col min="15875" max="15875" width="26.5703125" style="816" customWidth="1"/>
    <col min="15876" max="15876" width="8.140625" style="816" customWidth="1"/>
    <col min="15877" max="16130" width="11.42578125" style="816"/>
    <col min="16131" max="16131" width="26.5703125" style="816" customWidth="1"/>
    <col min="16132" max="16132" width="8.140625" style="816" customWidth="1"/>
    <col min="16133" max="16384" width="11.42578125" style="816"/>
  </cols>
  <sheetData>
    <row r="3" spans="2:5">
      <c r="B3" s="1573" t="s">
        <v>4474</v>
      </c>
    </row>
    <row r="4" spans="2:5">
      <c r="B4" s="1573" t="s">
        <v>4475</v>
      </c>
    </row>
    <row r="5" spans="2:5">
      <c r="B5" s="816" t="s">
        <v>4476</v>
      </c>
    </row>
    <row r="6" spans="2:5">
      <c r="B6" s="816" t="s">
        <v>4477</v>
      </c>
    </row>
    <row r="7" spans="2:5">
      <c r="B7" s="816" t="s">
        <v>4478</v>
      </c>
    </row>
    <row r="16" spans="2:5">
      <c r="C16" s="817" t="s">
        <v>4410</v>
      </c>
      <c r="D16" s="1549">
        <v>5000</v>
      </c>
      <c r="E16" s="816" t="s">
        <v>344</v>
      </c>
    </row>
    <row r="17" spans="3:5">
      <c r="C17" s="817" t="s">
        <v>3342</v>
      </c>
      <c r="D17" s="1549">
        <v>0.1</v>
      </c>
      <c r="E17" s="816" t="s">
        <v>344</v>
      </c>
    </row>
    <row r="18" spans="3:5">
      <c r="C18" s="817" t="s">
        <v>1773</v>
      </c>
      <c r="D18" s="1549">
        <v>50</v>
      </c>
      <c r="E18" s="816" t="s">
        <v>344</v>
      </c>
    </row>
    <row r="19" spans="3:5">
      <c r="C19" s="817" t="s">
        <v>3338</v>
      </c>
      <c r="D19" s="1549">
        <v>2000</v>
      </c>
      <c r="E19" s="816" t="s">
        <v>344</v>
      </c>
    </row>
    <row r="20" spans="3:5">
      <c r="C20" s="817"/>
    </row>
    <row r="21" spans="3:5">
      <c r="C21" s="817" t="s">
        <v>4411</v>
      </c>
      <c r="D21" s="816">
        <v>7000</v>
      </c>
      <c r="E21" s="816" t="s">
        <v>344</v>
      </c>
    </row>
    <row r="22" spans="3:5">
      <c r="C22" s="817" t="s">
        <v>1959</v>
      </c>
      <c r="D22" s="816">
        <v>5833.333333333333</v>
      </c>
      <c r="E22" s="816" t="s">
        <v>344</v>
      </c>
    </row>
    <row r="23" spans="3:5">
      <c r="D23" s="826">
        <v>5.833333333333333</v>
      </c>
      <c r="E23" s="816" t="s">
        <v>68</v>
      </c>
    </row>
    <row r="24" spans="3:5">
      <c r="C24" s="817"/>
    </row>
    <row r="25" spans="3:5">
      <c r="C25" s="817" t="s">
        <v>124</v>
      </c>
      <c r="D25" s="816">
        <v>0.7142857142857143</v>
      </c>
    </row>
    <row r="26" spans="3:5">
      <c r="C26" s="817"/>
    </row>
    <row r="27" spans="3:5">
      <c r="C27" s="817"/>
    </row>
  </sheetData>
  <pageMargins left="0.78740157499999996" right="0.78740157499999996" top="0.984251969" bottom="0.984251969" header="0.4921259845" footer="0.4921259845"/>
  <pageSetup paperSize="9" orientation="portrait" r:id="rId1"/>
  <headerFooter alignWithMargins="0"/>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F19"/>
  <sheetViews>
    <sheetView workbookViewId="0">
      <selection activeCell="J26" sqref="J26"/>
    </sheetView>
  </sheetViews>
  <sheetFormatPr baseColWidth="10" defaultColWidth="11.42578125" defaultRowHeight="12.75"/>
  <cols>
    <col min="1" max="16384" width="11.42578125" style="816"/>
  </cols>
  <sheetData>
    <row r="3" spans="2:6">
      <c r="B3" s="816" t="s">
        <v>4479</v>
      </c>
    </row>
    <row r="4" spans="2:6">
      <c r="B4" s="816" t="s">
        <v>4480</v>
      </c>
    </row>
    <row r="5" spans="2:6">
      <c r="B5" s="816" t="s">
        <v>4481</v>
      </c>
    </row>
    <row r="6" spans="2:6">
      <c r="B6" s="816" t="s">
        <v>4482</v>
      </c>
    </row>
    <row r="9" spans="2:6">
      <c r="B9" s="817" t="s">
        <v>1356</v>
      </c>
      <c r="C9" s="1549">
        <v>2.8</v>
      </c>
    </row>
    <row r="10" spans="2:6">
      <c r="B10" s="817" t="s">
        <v>1773</v>
      </c>
      <c r="C10" s="1549">
        <v>135</v>
      </c>
      <c r="D10" s="816" t="s">
        <v>344</v>
      </c>
    </row>
    <row r="11" spans="2:6">
      <c r="B11" s="817" t="s">
        <v>3342</v>
      </c>
      <c r="C11" s="1549">
        <v>0.1</v>
      </c>
      <c r="D11" s="816" t="s">
        <v>344</v>
      </c>
    </row>
    <row r="12" spans="2:6">
      <c r="B12" s="817" t="s">
        <v>3339</v>
      </c>
      <c r="C12" s="1549">
        <v>1450</v>
      </c>
      <c r="D12" s="816" t="s">
        <v>344</v>
      </c>
      <c r="E12" s="1551">
        <v>1.45</v>
      </c>
      <c r="F12" s="816" t="s">
        <v>68</v>
      </c>
    </row>
    <row r="13" spans="2:6">
      <c r="B13" s="817" t="s">
        <v>3338</v>
      </c>
      <c r="C13" s="1549">
        <v>100</v>
      </c>
      <c r="D13" s="816" t="s">
        <v>344</v>
      </c>
    </row>
    <row r="14" spans="2:6">
      <c r="B14" s="817"/>
    </row>
    <row r="15" spans="2:6">
      <c r="B15" s="817" t="s">
        <v>3341</v>
      </c>
      <c r="C15" s="816">
        <v>1550</v>
      </c>
      <c r="D15" s="816" t="s">
        <v>344</v>
      </c>
      <c r="E15" s="1551">
        <v>1.55</v>
      </c>
      <c r="F15" s="816" t="s">
        <v>68</v>
      </c>
    </row>
    <row r="16" spans="2:6">
      <c r="B16" s="817"/>
    </row>
    <row r="17" spans="2:6">
      <c r="B17" s="817" t="s">
        <v>3378</v>
      </c>
      <c r="C17" s="826">
        <v>1498.3333333333333</v>
      </c>
      <c r="D17" s="816" t="s">
        <v>344</v>
      </c>
      <c r="E17" s="1551">
        <v>1.4983333333333333</v>
      </c>
      <c r="F17" s="816" t="s">
        <v>68</v>
      </c>
    </row>
    <row r="18" spans="2:6">
      <c r="B18" s="817"/>
    </row>
    <row r="19" spans="2:6">
      <c r="B19" s="817" t="s">
        <v>1356</v>
      </c>
      <c r="C19" s="1551">
        <v>4.0545050055617349</v>
      </c>
    </row>
  </sheetData>
  <pageMargins left="0.78740157499999996" right="0.78740157499999996" top="0.984251969" bottom="0.984251969" header="0.4921259845" footer="0.4921259845"/>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D20"/>
  <sheetViews>
    <sheetView workbookViewId="0">
      <selection activeCell="J26" sqref="J26"/>
    </sheetView>
  </sheetViews>
  <sheetFormatPr baseColWidth="10" defaultRowHeight="12.75"/>
  <cols>
    <col min="1" max="1" width="11.42578125" style="816"/>
    <col min="2" max="2" width="21.7109375" style="1570" customWidth="1"/>
    <col min="3" max="3" width="8.28515625" style="816" customWidth="1"/>
    <col min="4" max="257" width="11.42578125" style="816"/>
    <col min="258" max="258" width="21.7109375" style="816" customWidth="1"/>
    <col min="259" max="259" width="8.28515625" style="816" customWidth="1"/>
    <col min="260" max="513" width="11.42578125" style="816"/>
    <col min="514" max="514" width="21.7109375" style="816" customWidth="1"/>
    <col min="515" max="515" width="8.28515625" style="816" customWidth="1"/>
    <col min="516" max="769" width="11.42578125" style="816"/>
    <col min="770" max="770" width="21.7109375" style="816" customWidth="1"/>
    <col min="771" max="771" width="8.28515625" style="816" customWidth="1"/>
    <col min="772" max="1025" width="11.42578125" style="816"/>
    <col min="1026" max="1026" width="21.7109375" style="816" customWidth="1"/>
    <col min="1027" max="1027" width="8.28515625" style="816" customWidth="1"/>
    <col min="1028" max="1281" width="11.42578125" style="816"/>
    <col min="1282" max="1282" width="21.7109375" style="816" customWidth="1"/>
    <col min="1283" max="1283" width="8.28515625" style="816" customWidth="1"/>
    <col min="1284" max="1537" width="11.42578125" style="816"/>
    <col min="1538" max="1538" width="21.7109375" style="816" customWidth="1"/>
    <col min="1539" max="1539" width="8.28515625" style="816" customWidth="1"/>
    <col min="1540" max="1793" width="11.42578125" style="816"/>
    <col min="1794" max="1794" width="21.7109375" style="816" customWidth="1"/>
    <col min="1795" max="1795" width="8.28515625" style="816" customWidth="1"/>
    <col min="1796" max="2049" width="11.42578125" style="816"/>
    <col min="2050" max="2050" width="21.7109375" style="816" customWidth="1"/>
    <col min="2051" max="2051" width="8.28515625" style="816" customWidth="1"/>
    <col min="2052" max="2305" width="11.42578125" style="816"/>
    <col min="2306" max="2306" width="21.7109375" style="816" customWidth="1"/>
    <col min="2307" max="2307" width="8.28515625" style="816" customWidth="1"/>
    <col min="2308" max="2561" width="11.42578125" style="816"/>
    <col min="2562" max="2562" width="21.7109375" style="816" customWidth="1"/>
    <col min="2563" max="2563" width="8.28515625" style="816" customWidth="1"/>
    <col min="2564" max="2817" width="11.42578125" style="816"/>
    <col min="2818" max="2818" width="21.7109375" style="816" customWidth="1"/>
    <col min="2819" max="2819" width="8.28515625" style="816" customWidth="1"/>
    <col min="2820" max="3073" width="11.42578125" style="816"/>
    <col min="3074" max="3074" width="21.7109375" style="816" customWidth="1"/>
    <col min="3075" max="3075" width="8.28515625" style="816" customWidth="1"/>
    <col min="3076" max="3329" width="11.42578125" style="816"/>
    <col min="3330" max="3330" width="21.7109375" style="816" customWidth="1"/>
    <col min="3331" max="3331" width="8.28515625" style="816" customWidth="1"/>
    <col min="3332" max="3585" width="11.42578125" style="816"/>
    <col min="3586" max="3586" width="21.7109375" style="816" customWidth="1"/>
    <col min="3587" max="3587" width="8.28515625" style="816" customWidth="1"/>
    <col min="3588" max="3841" width="11.42578125" style="816"/>
    <col min="3842" max="3842" width="21.7109375" style="816" customWidth="1"/>
    <col min="3843" max="3843" width="8.28515625" style="816" customWidth="1"/>
    <col min="3844" max="4097" width="11.42578125" style="816"/>
    <col min="4098" max="4098" width="21.7109375" style="816" customWidth="1"/>
    <col min="4099" max="4099" width="8.28515625" style="816" customWidth="1"/>
    <col min="4100" max="4353" width="11.42578125" style="816"/>
    <col min="4354" max="4354" width="21.7109375" style="816" customWidth="1"/>
    <col min="4355" max="4355" width="8.28515625" style="816" customWidth="1"/>
    <col min="4356" max="4609" width="11.42578125" style="816"/>
    <col min="4610" max="4610" width="21.7109375" style="816" customWidth="1"/>
    <col min="4611" max="4611" width="8.28515625" style="816" customWidth="1"/>
    <col min="4612" max="4865" width="11.42578125" style="816"/>
    <col min="4866" max="4866" width="21.7109375" style="816" customWidth="1"/>
    <col min="4867" max="4867" width="8.28515625" style="816" customWidth="1"/>
    <col min="4868" max="5121" width="11.42578125" style="816"/>
    <col min="5122" max="5122" width="21.7109375" style="816" customWidth="1"/>
    <col min="5123" max="5123" width="8.28515625" style="816" customWidth="1"/>
    <col min="5124" max="5377" width="11.42578125" style="816"/>
    <col min="5378" max="5378" width="21.7109375" style="816" customWidth="1"/>
    <col min="5379" max="5379" width="8.28515625" style="816" customWidth="1"/>
    <col min="5380" max="5633" width="11.42578125" style="816"/>
    <col min="5634" max="5634" width="21.7109375" style="816" customWidth="1"/>
    <col min="5635" max="5635" width="8.28515625" style="816" customWidth="1"/>
    <col min="5636" max="5889" width="11.42578125" style="816"/>
    <col min="5890" max="5890" width="21.7109375" style="816" customWidth="1"/>
    <col min="5891" max="5891" width="8.28515625" style="816" customWidth="1"/>
    <col min="5892" max="6145" width="11.42578125" style="816"/>
    <col min="6146" max="6146" width="21.7109375" style="816" customWidth="1"/>
    <col min="6147" max="6147" width="8.28515625" style="816" customWidth="1"/>
    <col min="6148" max="6401" width="11.42578125" style="816"/>
    <col min="6402" max="6402" width="21.7109375" style="816" customWidth="1"/>
    <col min="6403" max="6403" width="8.28515625" style="816" customWidth="1"/>
    <col min="6404" max="6657" width="11.42578125" style="816"/>
    <col min="6658" max="6658" width="21.7109375" style="816" customWidth="1"/>
    <col min="6659" max="6659" width="8.28515625" style="816" customWidth="1"/>
    <col min="6660" max="6913" width="11.42578125" style="816"/>
    <col min="6914" max="6914" width="21.7109375" style="816" customWidth="1"/>
    <col min="6915" max="6915" width="8.28515625" style="816" customWidth="1"/>
    <col min="6916" max="7169" width="11.42578125" style="816"/>
    <col min="7170" max="7170" width="21.7109375" style="816" customWidth="1"/>
    <col min="7171" max="7171" width="8.28515625" style="816" customWidth="1"/>
    <col min="7172" max="7425" width="11.42578125" style="816"/>
    <col min="7426" max="7426" width="21.7109375" style="816" customWidth="1"/>
    <col min="7427" max="7427" width="8.28515625" style="816" customWidth="1"/>
    <col min="7428" max="7681" width="11.42578125" style="816"/>
    <col min="7682" max="7682" width="21.7109375" style="816" customWidth="1"/>
    <col min="7683" max="7683" width="8.28515625" style="816" customWidth="1"/>
    <col min="7684" max="7937" width="11.42578125" style="816"/>
    <col min="7938" max="7938" width="21.7109375" style="816" customWidth="1"/>
    <col min="7939" max="7939" width="8.28515625" style="816" customWidth="1"/>
    <col min="7940" max="8193" width="11.42578125" style="816"/>
    <col min="8194" max="8194" width="21.7109375" style="816" customWidth="1"/>
    <col min="8195" max="8195" width="8.28515625" style="816" customWidth="1"/>
    <col min="8196" max="8449" width="11.42578125" style="816"/>
    <col min="8450" max="8450" width="21.7109375" style="816" customWidth="1"/>
    <col min="8451" max="8451" width="8.28515625" style="816" customWidth="1"/>
    <col min="8452" max="8705" width="11.42578125" style="816"/>
    <col min="8706" max="8706" width="21.7109375" style="816" customWidth="1"/>
    <col min="8707" max="8707" width="8.28515625" style="816" customWidth="1"/>
    <col min="8708" max="8961" width="11.42578125" style="816"/>
    <col min="8962" max="8962" width="21.7109375" style="816" customWidth="1"/>
    <col min="8963" max="8963" width="8.28515625" style="816" customWidth="1"/>
    <col min="8964" max="9217" width="11.42578125" style="816"/>
    <col min="9218" max="9218" width="21.7109375" style="816" customWidth="1"/>
    <col min="9219" max="9219" width="8.28515625" style="816" customWidth="1"/>
    <col min="9220" max="9473" width="11.42578125" style="816"/>
    <col min="9474" max="9474" width="21.7109375" style="816" customWidth="1"/>
    <col min="9475" max="9475" width="8.28515625" style="816" customWidth="1"/>
    <col min="9476" max="9729" width="11.42578125" style="816"/>
    <col min="9730" max="9730" width="21.7109375" style="816" customWidth="1"/>
    <col min="9731" max="9731" width="8.28515625" style="816" customWidth="1"/>
    <col min="9732" max="9985" width="11.42578125" style="816"/>
    <col min="9986" max="9986" width="21.7109375" style="816" customWidth="1"/>
    <col min="9987" max="9987" width="8.28515625" style="816" customWidth="1"/>
    <col min="9988" max="10241" width="11.42578125" style="816"/>
    <col min="10242" max="10242" width="21.7109375" style="816" customWidth="1"/>
    <col min="10243" max="10243" width="8.28515625" style="816" customWidth="1"/>
    <col min="10244" max="10497" width="11.42578125" style="816"/>
    <col min="10498" max="10498" width="21.7109375" style="816" customWidth="1"/>
    <col min="10499" max="10499" width="8.28515625" style="816" customWidth="1"/>
    <col min="10500" max="10753" width="11.42578125" style="816"/>
    <col min="10754" max="10754" width="21.7109375" style="816" customWidth="1"/>
    <col min="10755" max="10755" width="8.28515625" style="816" customWidth="1"/>
    <col min="10756" max="11009" width="11.42578125" style="816"/>
    <col min="11010" max="11010" width="21.7109375" style="816" customWidth="1"/>
    <col min="11011" max="11011" width="8.28515625" style="816" customWidth="1"/>
    <col min="11012" max="11265" width="11.42578125" style="816"/>
    <col min="11266" max="11266" width="21.7109375" style="816" customWidth="1"/>
    <col min="11267" max="11267" width="8.28515625" style="816" customWidth="1"/>
    <col min="11268" max="11521" width="11.42578125" style="816"/>
    <col min="11522" max="11522" width="21.7109375" style="816" customWidth="1"/>
    <col min="11523" max="11523" width="8.28515625" style="816" customWidth="1"/>
    <col min="11524" max="11777" width="11.42578125" style="816"/>
    <col min="11778" max="11778" width="21.7109375" style="816" customWidth="1"/>
    <col min="11779" max="11779" width="8.28515625" style="816" customWidth="1"/>
    <col min="11780" max="12033" width="11.42578125" style="816"/>
    <col min="12034" max="12034" width="21.7109375" style="816" customWidth="1"/>
    <col min="12035" max="12035" width="8.28515625" style="816" customWidth="1"/>
    <col min="12036" max="12289" width="11.42578125" style="816"/>
    <col min="12290" max="12290" width="21.7109375" style="816" customWidth="1"/>
    <col min="12291" max="12291" width="8.28515625" style="816" customWidth="1"/>
    <col min="12292" max="12545" width="11.42578125" style="816"/>
    <col min="12546" max="12546" width="21.7109375" style="816" customWidth="1"/>
    <col min="12547" max="12547" width="8.28515625" style="816" customWidth="1"/>
    <col min="12548" max="12801" width="11.42578125" style="816"/>
    <col min="12802" max="12802" width="21.7109375" style="816" customWidth="1"/>
    <col min="12803" max="12803" width="8.28515625" style="816" customWidth="1"/>
    <col min="12804" max="13057" width="11.42578125" style="816"/>
    <col min="13058" max="13058" width="21.7109375" style="816" customWidth="1"/>
    <col min="13059" max="13059" width="8.28515625" style="816" customWidth="1"/>
    <col min="13060" max="13313" width="11.42578125" style="816"/>
    <col min="13314" max="13314" width="21.7109375" style="816" customWidth="1"/>
    <col min="13315" max="13315" width="8.28515625" style="816" customWidth="1"/>
    <col min="13316" max="13569" width="11.42578125" style="816"/>
    <col min="13570" max="13570" width="21.7109375" style="816" customWidth="1"/>
    <col min="13571" max="13571" width="8.28515625" style="816" customWidth="1"/>
    <col min="13572" max="13825" width="11.42578125" style="816"/>
    <col min="13826" max="13826" width="21.7109375" style="816" customWidth="1"/>
    <col min="13827" max="13827" width="8.28515625" style="816" customWidth="1"/>
    <col min="13828" max="14081" width="11.42578125" style="816"/>
    <col min="14082" max="14082" width="21.7109375" style="816" customWidth="1"/>
    <col min="14083" max="14083" width="8.28515625" style="816" customWidth="1"/>
    <col min="14084" max="14337" width="11.42578125" style="816"/>
    <col min="14338" max="14338" width="21.7109375" style="816" customWidth="1"/>
    <col min="14339" max="14339" width="8.28515625" style="816" customWidth="1"/>
    <col min="14340" max="14593" width="11.42578125" style="816"/>
    <col min="14594" max="14594" width="21.7109375" style="816" customWidth="1"/>
    <col min="14595" max="14595" width="8.28515625" style="816" customWidth="1"/>
    <col min="14596" max="14849" width="11.42578125" style="816"/>
    <col min="14850" max="14850" width="21.7109375" style="816" customWidth="1"/>
    <col min="14851" max="14851" width="8.28515625" style="816" customWidth="1"/>
    <col min="14852" max="15105" width="11.42578125" style="816"/>
    <col min="15106" max="15106" width="21.7109375" style="816" customWidth="1"/>
    <col min="15107" max="15107" width="8.28515625" style="816" customWidth="1"/>
    <col min="15108" max="15361" width="11.42578125" style="816"/>
    <col min="15362" max="15362" width="21.7109375" style="816" customWidth="1"/>
    <col min="15363" max="15363" width="8.28515625" style="816" customWidth="1"/>
    <col min="15364" max="15617" width="11.42578125" style="816"/>
    <col min="15618" max="15618" width="21.7109375" style="816" customWidth="1"/>
    <col min="15619" max="15619" width="8.28515625" style="816" customWidth="1"/>
    <col min="15620" max="15873" width="11.42578125" style="816"/>
    <col min="15874" max="15874" width="21.7109375" style="816" customWidth="1"/>
    <col min="15875" max="15875" width="8.28515625" style="816" customWidth="1"/>
    <col min="15876" max="16129" width="11.42578125" style="816"/>
    <col min="16130" max="16130" width="21.7109375" style="816" customWidth="1"/>
    <col min="16131" max="16131" width="8.28515625" style="816" customWidth="1"/>
    <col min="16132" max="16384" width="11.42578125" style="816"/>
  </cols>
  <sheetData>
    <row r="3" spans="2:4">
      <c r="B3" s="1570" t="s">
        <v>4483</v>
      </c>
    </row>
    <row r="4" spans="2:4">
      <c r="B4" s="1570" t="s">
        <v>4484</v>
      </c>
    </row>
    <row r="5" spans="2:4">
      <c r="B5" s="1574" t="s">
        <v>4485</v>
      </c>
    </row>
    <row r="6" spans="2:4">
      <c r="B6" s="1570" t="s">
        <v>4486</v>
      </c>
    </row>
    <row r="7" spans="2:4">
      <c r="B7" s="1570" t="s">
        <v>4487</v>
      </c>
    </row>
    <row r="8" spans="2:4">
      <c r="B8" s="1570" t="s">
        <v>4482</v>
      </c>
    </row>
    <row r="11" spans="2:4">
      <c r="B11" s="1570" t="s">
        <v>4410</v>
      </c>
      <c r="C11" s="1549">
        <v>1450</v>
      </c>
      <c r="D11" s="816" t="s">
        <v>344</v>
      </c>
    </row>
    <row r="12" spans="2:4">
      <c r="B12" s="1570" t="s">
        <v>4411</v>
      </c>
      <c r="C12" s="1549">
        <v>1550</v>
      </c>
      <c r="D12" s="816" t="s">
        <v>344</v>
      </c>
    </row>
    <row r="13" spans="2:4">
      <c r="B13" s="1570" t="s">
        <v>3342</v>
      </c>
      <c r="C13" s="1549">
        <v>0.05</v>
      </c>
      <c r="D13" s="816" t="s">
        <v>344</v>
      </c>
    </row>
    <row r="14" spans="2:4">
      <c r="B14" s="1570" t="s">
        <v>1773</v>
      </c>
      <c r="C14" s="1549">
        <v>135</v>
      </c>
      <c r="D14" s="816" t="s">
        <v>344</v>
      </c>
    </row>
    <row r="16" spans="2:4">
      <c r="B16" s="1570" t="s">
        <v>3378</v>
      </c>
      <c r="C16" s="816">
        <v>1498.3333333333333</v>
      </c>
      <c r="D16" s="816" t="s">
        <v>344</v>
      </c>
    </row>
    <row r="18" spans="2:3">
      <c r="B18" s="1570" t="s">
        <v>124</v>
      </c>
      <c r="C18" s="1551">
        <v>8.1090100111234698</v>
      </c>
    </row>
    <row r="20" spans="2:3">
      <c r="B20" s="1570" t="s">
        <v>4488</v>
      </c>
    </row>
  </sheetData>
  <pageMargins left="0.78740157499999996" right="0.78740157499999996" top="0.984251969" bottom="0.984251969" header="0.4921259845" footer="0.4921259845"/>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E19"/>
  <sheetViews>
    <sheetView workbookViewId="0">
      <selection activeCell="G28" sqref="G28"/>
    </sheetView>
  </sheetViews>
  <sheetFormatPr baseColWidth="10" defaultRowHeight="12.75"/>
  <cols>
    <col min="1" max="1" width="11.42578125" style="816"/>
    <col min="2" max="2" width="21.140625" style="816" customWidth="1"/>
    <col min="3" max="257" width="11.42578125" style="816"/>
    <col min="258" max="258" width="21.140625" style="816" customWidth="1"/>
    <col min="259" max="513" width="11.42578125" style="816"/>
    <col min="514" max="514" width="21.140625" style="816" customWidth="1"/>
    <col min="515" max="769" width="11.42578125" style="816"/>
    <col min="770" max="770" width="21.140625" style="816" customWidth="1"/>
    <col min="771" max="1025" width="11.42578125" style="816"/>
    <col min="1026" max="1026" width="21.140625" style="816" customWidth="1"/>
    <col min="1027" max="1281" width="11.42578125" style="816"/>
    <col min="1282" max="1282" width="21.140625" style="816" customWidth="1"/>
    <col min="1283" max="1537" width="11.42578125" style="816"/>
    <col min="1538" max="1538" width="21.140625" style="816" customWidth="1"/>
    <col min="1539" max="1793" width="11.42578125" style="816"/>
    <col min="1794" max="1794" width="21.140625" style="816" customWidth="1"/>
    <col min="1795" max="2049" width="11.42578125" style="816"/>
    <col min="2050" max="2050" width="21.140625" style="816" customWidth="1"/>
    <col min="2051" max="2305" width="11.42578125" style="816"/>
    <col min="2306" max="2306" width="21.140625" style="816" customWidth="1"/>
    <col min="2307" max="2561" width="11.42578125" style="816"/>
    <col min="2562" max="2562" width="21.140625" style="816" customWidth="1"/>
    <col min="2563" max="2817" width="11.42578125" style="816"/>
    <col min="2818" max="2818" width="21.140625" style="816" customWidth="1"/>
    <col min="2819" max="3073" width="11.42578125" style="816"/>
    <col min="3074" max="3074" width="21.140625" style="816" customWidth="1"/>
    <col min="3075" max="3329" width="11.42578125" style="816"/>
    <col min="3330" max="3330" width="21.140625" style="816" customWidth="1"/>
    <col min="3331" max="3585" width="11.42578125" style="816"/>
    <col min="3586" max="3586" width="21.140625" style="816" customWidth="1"/>
    <col min="3587" max="3841" width="11.42578125" style="816"/>
    <col min="3842" max="3842" width="21.140625" style="816" customWidth="1"/>
    <col min="3843" max="4097" width="11.42578125" style="816"/>
    <col min="4098" max="4098" width="21.140625" style="816" customWidth="1"/>
    <col min="4099" max="4353" width="11.42578125" style="816"/>
    <col min="4354" max="4354" width="21.140625" style="816" customWidth="1"/>
    <col min="4355" max="4609" width="11.42578125" style="816"/>
    <col min="4610" max="4610" width="21.140625" style="816" customWidth="1"/>
    <col min="4611" max="4865" width="11.42578125" style="816"/>
    <col min="4866" max="4866" width="21.140625" style="816" customWidth="1"/>
    <col min="4867" max="5121" width="11.42578125" style="816"/>
    <col min="5122" max="5122" width="21.140625" style="816" customWidth="1"/>
    <col min="5123" max="5377" width="11.42578125" style="816"/>
    <col min="5378" max="5378" width="21.140625" style="816" customWidth="1"/>
    <col min="5379" max="5633" width="11.42578125" style="816"/>
    <col min="5634" max="5634" width="21.140625" style="816" customWidth="1"/>
    <col min="5635" max="5889" width="11.42578125" style="816"/>
    <col min="5890" max="5890" width="21.140625" style="816" customWidth="1"/>
    <col min="5891" max="6145" width="11.42578125" style="816"/>
    <col min="6146" max="6146" width="21.140625" style="816" customWidth="1"/>
    <col min="6147" max="6401" width="11.42578125" style="816"/>
    <col min="6402" max="6402" width="21.140625" style="816" customWidth="1"/>
    <col min="6403" max="6657" width="11.42578125" style="816"/>
    <col min="6658" max="6658" width="21.140625" style="816" customWidth="1"/>
    <col min="6659" max="6913" width="11.42578125" style="816"/>
    <col min="6914" max="6914" width="21.140625" style="816" customWidth="1"/>
    <col min="6915" max="7169" width="11.42578125" style="816"/>
    <col min="7170" max="7170" width="21.140625" style="816" customWidth="1"/>
    <col min="7171" max="7425" width="11.42578125" style="816"/>
    <col min="7426" max="7426" width="21.140625" style="816" customWidth="1"/>
    <col min="7427" max="7681" width="11.42578125" style="816"/>
    <col min="7682" max="7682" width="21.140625" style="816" customWidth="1"/>
    <col min="7683" max="7937" width="11.42578125" style="816"/>
    <col min="7938" max="7938" width="21.140625" style="816" customWidth="1"/>
    <col min="7939" max="8193" width="11.42578125" style="816"/>
    <col min="8194" max="8194" width="21.140625" style="816" customWidth="1"/>
    <col min="8195" max="8449" width="11.42578125" style="816"/>
    <col min="8450" max="8450" width="21.140625" style="816" customWidth="1"/>
    <col min="8451" max="8705" width="11.42578125" style="816"/>
    <col min="8706" max="8706" width="21.140625" style="816" customWidth="1"/>
    <col min="8707" max="8961" width="11.42578125" style="816"/>
    <col min="8962" max="8962" width="21.140625" style="816" customWidth="1"/>
    <col min="8963" max="9217" width="11.42578125" style="816"/>
    <col min="9218" max="9218" width="21.140625" style="816" customWidth="1"/>
    <col min="9219" max="9473" width="11.42578125" style="816"/>
    <col min="9474" max="9474" width="21.140625" style="816" customWidth="1"/>
    <col min="9475" max="9729" width="11.42578125" style="816"/>
    <col min="9730" max="9730" width="21.140625" style="816" customWidth="1"/>
    <col min="9731" max="9985" width="11.42578125" style="816"/>
    <col min="9986" max="9986" width="21.140625" style="816" customWidth="1"/>
    <col min="9987" max="10241" width="11.42578125" style="816"/>
    <col min="10242" max="10242" width="21.140625" style="816" customWidth="1"/>
    <col min="10243" max="10497" width="11.42578125" style="816"/>
    <col min="10498" max="10498" width="21.140625" style="816" customWidth="1"/>
    <col min="10499" max="10753" width="11.42578125" style="816"/>
    <col min="10754" max="10754" width="21.140625" style="816" customWidth="1"/>
    <col min="10755" max="11009" width="11.42578125" style="816"/>
    <col min="11010" max="11010" width="21.140625" style="816" customWidth="1"/>
    <col min="11011" max="11265" width="11.42578125" style="816"/>
    <col min="11266" max="11266" width="21.140625" style="816" customWidth="1"/>
    <col min="11267" max="11521" width="11.42578125" style="816"/>
    <col min="11522" max="11522" width="21.140625" style="816" customWidth="1"/>
    <col min="11523" max="11777" width="11.42578125" style="816"/>
    <col min="11778" max="11778" width="21.140625" style="816" customWidth="1"/>
    <col min="11779" max="12033" width="11.42578125" style="816"/>
    <col min="12034" max="12034" width="21.140625" style="816" customWidth="1"/>
    <col min="12035" max="12289" width="11.42578125" style="816"/>
    <col min="12290" max="12290" width="21.140625" style="816" customWidth="1"/>
    <col min="12291" max="12545" width="11.42578125" style="816"/>
    <col min="12546" max="12546" width="21.140625" style="816" customWidth="1"/>
    <col min="12547" max="12801" width="11.42578125" style="816"/>
    <col min="12802" max="12802" width="21.140625" style="816" customWidth="1"/>
    <col min="12803" max="13057" width="11.42578125" style="816"/>
    <col min="13058" max="13058" width="21.140625" style="816" customWidth="1"/>
    <col min="13059" max="13313" width="11.42578125" style="816"/>
    <col min="13314" max="13314" width="21.140625" style="816" customWidth="1"/>
    <col min="13315" max="13569" width="11.42578125" style="816"/>
    <col min="13570" max="13570" width="21.140625" style="816" customWidth="1"/>
    <col min="13571" max="13825" width="11.42578125" style="816"/>
    <col min="13826" max="13826" width="21.140625" style="816" customWidth="1"/>
    <col min="13827" max="14081" width="11.42578125" style="816"/>
    <col min="14082" max="14082" width="21.140625" style="816" customWidth="1"/>
    <col min="14083" max="14337" width="11.42578125" style="816"/>
    <col min="14338" max="14338" width="21.140625" style="816" customWidth="1"/>
    <col min="14339" max="14593" width="11.42578125" style="816"/>
    <col min="14594" max="14594" width="21.140625" style="816" customWidth="1"/>
    <col min="14595" max="14849" width="11.42578125" style="816"/>
    <col min="14850" max="14850" width="21.140625" style="816" customWidth="1"/>
    <col min="14851" max="15105" width="11.42578125" style="816"/>
    <col min="15106" max="15106" width="21.140625" style="816" customWidth="1"/>
    <col min="15107" max="15361" width="11.42578125" style="816"/>
    <col min="15362" max="15362" width="21.140625" style="816" customWidth="1"/>
    <col min="15363" max="15617" width="11.42578125" style="816"/>
    <col min="15618" max="15618" width="21.140625" style="816" customWidth="1"/>
    <col min="15619" max="15873" width="11.42578125" style="816"/>
    <col min="15874" max="15874" width="21.140625" style="816" customWidth="1"/>
    <col min="15875" max="16129" width="11.42578125" style="816"/>
    <col min="16130" max="16130" width="21.140625" style="816" customWidth="1"/>
    <col min="16131" max="16384" width="11.42578125" style="816"/>
  </cols>
  <sheetData>
    <row r="2" spans="2:5">
      <c r="B2" s="816" t="s">
        <v>3357</v>
      </c>
      <c r="C2" s="821"/>
    </row>
    <row r="3" spans="2:5">
      <c r="B3" s="816" t="s">
        <v>3358</v>
      </c>
      <c r="C3" s="821"/>
    </row>
    <row r="4" spans="2:5">
      <c r="B4" s="816" t="s">
        <v>3359</v>
      </c>
      <c r="C4" s="821"/>
    </row>
    <row r="5" spans="2:5">
      <c r="B5" s="816" t="s">
        <v>3360</v>
      </c>
      <c r="C5" s="821"/>
    </row>
    <row r="6" spans="2:5">
      <c r="B6" s="816" t="s">
        <v>3361</v>
      </c>
      <c r="C6" s="821"/>
    </row>
    <row r="7" spans="2:5">
      <c r="B7" s="816" t="s">
        <v>3362</v>
      </c>
      <c r="C7" s="821"/>
    </row>
    <row r="8" spans="2:5">
      <c r="B8" s="816" t="s">
        <v>3363</v>
      </c>
      <c r="C8" s="821"/>
    </row>
    <row r="9" spans="2:5">
      <c r="C9" s="821"/>
    </row>
    <row r="10" spans="2:5">
      <c r="C10" s="821"/>
    </row>
    <row r="11" spans="2:5">
      <c r="B11" s="816" t="s">
        <v>3377</v>
      </c>
      <c r="C11" s="1575">
        <v>0.03</v>
      </c>
      <c r="D11" s="816" t="s">
        <v>344</v>
      </c>
    </row>
    <row r="12" spans="2:5">
      <c r="B12" s="816" t="s">
        <v>3339</v>
      </c>
      <c r="C12" s="1575">
        <v>7000</v>
      </c>
      <c r="D12" s="816" t="s">
        <v>344</v>
      </c>
    </row>
    <row r="13" spans="2:5">
      <c r="B13" s="816" t="s">
        <v>3341</v>
      </c>
      <c r="C13" s="1575">
        <v>11000</v>
      </c>
      <c r="D13" s="816" t="s">
        <v>344</v>
      </c>
    </row>
    <row r="14" spans="2:5">
      <c r="B14" s="816" t="s">
        <v>1773</v>
      </c>
      <c r="C14" s="1575">
        <v>100</v>
      </c>
      <c r="D14" s="816" t="s">
        <v>344</v>
      </c>
    </row>
    <row r="15" spans="2:5">
      <c r="C15" s="821"/>
    </row>
    <row r="16" spans="2:5">
      <c r="B16" s="1576" t="s">
        <v>124</v>
      </c>
      <c r="C16" s="1577">
        <v>8.6580086580086579</v>
      </c>
      <c r="E16" s="816" t="s">
        <v>3369</v>
      </c>
    </row>
    <row r="17" spans="2:5">
      <c r="C17" s="821"/>
    </row>
    <row r="18" spans="2:5">
      <c r="B18" s="1576" t="s">
        <v>3378</v>
      </c>
      <c r="C18" s="1577">
        <v>8555.5555555555547</v>
      </c>
      <c r="D18" s="1576" t="s">
        <v>344</v>
      </c>
      <c r="E18" s="816" t="s">
        <v>3370</v>
      </c>
    </row>
    <row r="19" spans="2:5">
      <c r="C19" s="1578">
        <v>8.5555555555555554</v>
      </c>
      <c r="D19" s="1576" t="s">
        <v>68</v>
      </c>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4"/>
  <dimension ref="B3:H53"/>
  <sheetViews>
    <sheetView workbookViewId="0">
      <selection activeCell="J46" sqref="J46"/>
    </sheetView>
  </sheetViews>
  <sheetFormatPr baseColWidth="10" defaultColWidth="11.42578125" defaultRowHeight="15"/>
  <cols>
    <col min="1" max="1" width="11.42578125" style="73"/>
    <col min="2" max="2" width="15.140625" style="73" customWidth="1"/>
    <col min="3" max="16384" width="11.42578125" style="73"/>
  </cols>
  <sheetData>
    <row r="3" spans="2:5">
      <c r="B3" s="208" t="s">
        <v>475</v>
      </c>
    </row>
    <row r="4" spans="2:5">
      <c r="B4" s="209" t="s">
        <v>476</v>
      </c>
    </row>
    <row r="5" spans="2:5">
      <c r="B5" s="73" t="s">
        <v>477</v>
      </c>
    </row>
    <row r="7" spans="2:5">
      <c r="B7" s="73" t="s">
        <v>224</v>
      </c>
      <c r="C7" s="210">
        <v>50</v>
      </c>
      <c r="D7" s="73" t="s">
        <v>212</v>
      </c>
    </row>
    <row r="8" spans="2:5">
      <c r="B8" s="73" t="s">
        <v>225</v>
      </c>
      <c r="C8" s="210">
        <v>30</v>
      </c>
      <c r="D8" s="73" t="s">
        <v>212</v>
      </c>
    </row>
    <row r="9" spans="2:5">
      <c r="B9" s="73" t="s">
        <v>478</v>
      </c>
      <c r="C9" s="210">
        <v>18</v>
      </c>
      <c r="D9" s="73" t="s">
        <v>212</v>
      </c>
    </row>
    <row r="11" spans="2:5">
      <c r="B11" s="73" t="s">
        <v>479</v>
      </c>
      <c r="C11" s="73">
        <f>4*(C7+C8+C9)</f>
        <v>392</v>
      </c>
      <c r="D11" s="73" t="s">
        <v>212</v>
      </c>
      <c r="E11" s="73" t="s">
        <v>480</v>
      </c>
    </row>
    <row r="12" spans="2:5">
      <c r="B12" s="73" t="s">
        <v>481</v>
      </c>
      <c r="C12" s="73">
        <f>2*(C7*C8+C7*C9+C8*C9)</f>
        <v>5880</v>
      </c>
      <c r="D12" s="73" t="s">
        <v>215</v>
      </c>
      <c r="E12" s="73" t="s">
        <v>482</v>
      </c>
    </row>
    <row r="13" spans="2:5">
      <c r="B13" s="73" t="s">
        <v>483</v>
      </c>
      <c r="C13" s="73">
        <f>C7*C8*C9</f>
        <v>27000</v>
      </c>
      <c r="D13" s="73" t="s">
        <v>484</v>
      </c>
      <c r="E13" s="73" t="s">
        <v>485</v>
      </c>
    </row>
    <row r="15" spans="2:5">
      <c r="B15" s="73" t="str">
        <f>"Die Kantenlänge ist " &amp; ROUND(C11,2) &amp; " cm."</f>
        <v>Die Kantenlänge ist 392 cm.</v>
      </c>
    </row>
    <row r="16" spans="2:5">
      <c r="B16" s="73" t="str">
        <f>"Die Außenfläche umfasst " &amp; ROUND(C12,2) &amp; " cm²."</f>
        <v>Die Außenfläche umfasst 5880 cm².</v>
      </c>
    </row>
    <row r="17" spans="2:8">
      <c r="B17" s="73" t="str">
        <f>"Das Volumen ist " &amp; ROUND(C13,2) &amp; " cm³."</f>
        <v>Das Volumen ist 27000 cm³.</v>
      </c>
    </row>
    <row r="23" spans="2:8">
      <c r="B23" s="211" t="s">
        <v>486</v>
      </c>
      <c r="C23" s="1"/>
      <c r="D23" s="1"/>
      <c r="E23" s="1"/>
      <c r="F23" s="1"/>
      <c r="G23" s="1"/>
      <c r="H23" s="1"/>
    </row>
    <row r="24" spans="2:8">
      <c r="B24" s="211"/>
      <c r="C24" s="1"/>
      <c r="D24" s="1"/>
      <c r="E24" s="1"/>
      <c r="F24" s="1"/>
      <c r="G24" s="1"/>
      <c r="H24" s="1"/>
    </row>
    <row r="25" spans="2:8">
      <c r="B25" s="1" t="s">
        <v>487</v>
      </c>
      <c r="C25" s="1"/>
      <c r="D25" s="1"/>
      <c r="E25" s="1"/>
      <c r="F25" s="1"/>
      <c r="G25" s="1"/>
      <c r="H25" s="1"/>
    </row>
    <row r="26" spans="2:8">
      <c r="B26" s="1"/>
      <c r="C26" s="1"/>
      <c r="D26" s="1"/>
      <c r="E26" s="1"/>
      <c r="F26" s="1"/>
      <c r="G26" s="1"/>
      <c r="H26" s="1"/>
    </row>
    <row r="27" spans="2:8">
      <c r="B27" s="8" t="s">
        <v>488</v>
      </c>
      <c r="C27" s="1"/>
      <c r="D27" s="1"/>
      <c r="E27" s="1"/>
      <c r="F27" s="1"/>
      <c r="G27" s="1"/>
      <c r="H27" s="1"/>
    </row>
    <row r="28" spans="2:8">
      <c r="B28" s="8" t="s">
        <v>489</v>
      </c>
      <c r="C28" s="1"/>
      <c r="D28" s="1"/>
      <c r="E28" s="1"/>
      <c r="F28" s="1"/>
      <c r="G28" s="1"/>
      <c r="H28" s="1"/>
    </row>
    <row r="29" spans="2:8">
      <c r="B29" s="1" t="s">
        <v>490</v>
      </c>
      <c r="C29" s="1"/>
      <c r="D29" s="1"/>
      <c r="E29" s="1"/>
      <c r="F29" s="1"/>
      <c r="G29" s="1"/>
      <c r="H29" s="1"/>
    </row>
    <row r="30" spans="2:8">
      <c r="B30" s="8" t="s">
        <v>491</v>
      </c>
      <c r="C30" s="1"/>
      <c r="D30" s="1"/>
      <c r="E30" s="1"/>
      <c r="F30" s="1"/>
      <c r="G30" s="1"/>
      <c r="H30" s="1"/>
    </row>
    <row r="31" spans="2:8">
      <c r="B31" s="8"/>
      <c r="C31" s="1"/>
      <c r="D31" s="1"/>
      <c r="E31" s="1"/>
      <c r="F31" s="1"/>
      <c r="G31" s="1"/>
      <c r="H31" s="1"/>
    </row>
    <row r="32" spans="2:8">
      <c r="B32" s="1" t="s">
        <v>492</v>
      </c>
      <c r="C32" s="1"/>
      <c r="D32" s="1"/>
      <c r="E32" s="1"/>
      <c r="F32" s="1"/>
      <c r="G32" s="1"/>
      <c r="H32" s="1"/>
    </row>
    <row r="33" spans="2:8">
      <c r="B33" s="8" t="s">
        <v>493</v>
      </c>
      <c r="C33" s="1"/>
      <c r="D33" s="1"/>
      <c r="E33" s="1"/>
      <c r="F33" s="1"/>
      <c r="G33" s="1"/>
      <c r="H33" s="1"/>
    </row>
    <row r="34" spans="2:8">
      <c r="B34" s="212" t="s">
        <v>494</v>
      </c>
      <c r="C34" s="1"/>
      <c r="D34" s="1"/>
      <c r="E34" s="1"/>
      <c r="F34" s="1"/>
      <c r="G34" s="1"/>
      <c r="H34" s="1"/>
    </row>
    <row r="35" spans="2:8">
      <c r="C35" s="1"/>
      <c r="D35" s="1"/>
      <c r="E35" s="1"/>
      <c r="F35" s="1"/>
      <c r="G35" s="1"/>
      <c r="H35" s="1"/>
    </row>
    <row r="36" spans="2:8">
      <c r="B36" s="213"/>
      <c r="C36" s="1" t="s">
        <v>495</v>
      </c>
      <c r="D36" s="1"/>
      <c r="E36" s="1"/>
      <c r="F36" s="1"/>
      <c r="G36" s="1"/>
      <c r="H36" s="1"/>
    </row>
    <row r="37" spans="2:8">
      <c r="B37" s="214"/>
      <c r="C37" s="32"/>
      <c r="D37" s="32"/>
      <c r="E37" s="32"/>
      <c r="F37" s="32"/>
      <c r="G37" s="32"/>
      <c r="H37" s="1"/>
    </row>
    <row r="38" spans="2:8">
      <c r="B38" s="215" t="s">
        <v>496</v>
      </c>
      <c r="C38" s="216"/>
      <c r="D38" s="32"/>
      <c r="E38" s="32"/>
      <c r="F38" s="32"/>
      <c r="G38" s="32"/>
      <c r="H38" s="1"/>
    </row>
    <row r="39" spans="2:8">
      <c r="B39" s="215" t="s">
        <v>497</v>
      </c>
      <c r="C39" s="217">
        <v>50</v>
      </c>
      <c r="D39" s="32" t="s">
        <v>212</v>
      </c>
      <c r="E39" s="32"/>
      <c r="F39" s="32"/>
      <c r="G39" s="32"/>
      <c r="H39" s="1"/>
    </row>
    <row r="40" spans="2:8">
      <c r="B40" s="215" t="s">
        <v>498</v>
      </c>
      <c r="C40" s="217">
        <v>30</v>
      </c>
      <c r="D40" s="32" t="s">
        <v>212</v>
      </c>
      <c r="E40" s="32"/>
      <c r="F40" s="32"/>
      <c r="G40" s="32"/>
      <c r="H40" s="1"/>
    </row>
    <row r="41" spans="2:8">
      <c r="B41" s="215" t="s">
        <v>499</v>
      </c>
      <c r="C41" s="217">
        <v>18</v>
      </c>
      <c r="D41" s="32" t="s">
        <v>212</v>
      </c>
      <c r="E41" s="32"/>
      <c r="F41" s="32"/>
      <c r="G41" s="32"/>
      <c r="H41" s="1"/>
    </row>
    <row r="42" spans="2:8">
      <c r="B42" s="215"/>
      <c r="C42" s="216"/>
      <c r="D42" s="32"/>
      <c r="E42" s="32"/>
      <c r="F42" s="32"/>
      <c r="G42" s="32"/>
      <c r="H42" s="1"/>
    </row>
    <row r="43" spans="2:8">
      <c r="B43" s="215" t="s">
        <v>500</v>
      </c>
      <c r="C43" s="216"/>
      <c r="D43" s="32"/>
      <c r="E43" s="32"/>
      <c r="F43" s="32"/>
      <c r="G43" s="32"/>
      <c r="H43" s="1"/>
    </row>
    <row r="44" spans="2:8">
      <c r="B44" s="215" t="s">
        <v>501</v>
      </c>
      <c r="C44" s="216">
        <f>C39*C40*C41</f>
        <v>27000</v>
      </c>
      <c r="D44" s="32" t="s">
        <v>502</v>
      </c>
      <c r="E44" s="32"/>
      <c r="F44" s="218" t="s">
        <v>503</v>
      </c>
      <c r="G44" s="32"/>
      <c r="H44" s="1"/>
    </row>
    <row r="45" spans="2:8">
      <c r="B45" s="60" t="s">
        <v>504</v>
      </c>
      <c r="C45" s="216"/>
      <c r="D45" s="32"/>
      <c r="E45" s="32"/>
      <c r="F45" s="218" t="s">
        <v>505</v>
      </c>
      <c r="G45" s="32"/>
      <c r="H45" s="1"/>
    </row>
    <row r="46" spans="2:8">
      <c r="B46" s="219" t="s">
        <v>506</v>
      </c>
      <c r="C46" s="220">
        <f>C39*C40*2</f>
        <v>3000</v>
      </c>
      <c r="D46" s="221" t="s">
        <v>215</v>
      </c>
      <c r="E46" s="32"/>
      <c r="F46" s="32"/>
      <c r="G46" s="32"/>
      <c r="H46" s="1"/>
    </row>
    <row r="47" spans="2:8">
      <c r="B47" s="219" t="s">
        <v>507</v>
      </c>
      <c r="C47" s="220">
        <f>C40*C41*2</f>
        <v>1080</v>
      </c>
      <c r="D47" s="221" t="s">
        <v>215</v>
      </c>
      <c r="E47" s="32"/>
      <c r="F47" s="32"/>
      <c r="G47" s="32"/>
      <c r="H47" s="1"/>
    </row>
    <row r="48" spans="2:8">
      <c r="B48" s="219" t="s">
        <v>508</v>
      </c>
      <c r="C48" s="220">
        <f>C39*C41*2</f>
        <v>1800</v>
      </c>
      <c r="D48" s="221" t="s">
        <v>215</v>
      </c>
      <c r="E48" s="32"/>
      <c r="F48" s="32"/>
      <c r="G48" s="32"/>
      <c r="H48" s="1"/>
    </row>
    <row r="49" spans="2:8">
      <c r="B49" s="219" t="s">
        <v>509</v>
      </c>
      <c r="C49" s="220">
        <f>C46+C47+C48</f>
        <v>5880</v>
      </c>
      <c r="D49" s="221" t="s">
        <v>215</v>
      </c>
      <c r="E49" s="32"/>
      <c r="F49" s="32"/>
      <c r="G49" s="32"/>
      <c r="H49" s="1"/>
    </row>
    <row r="50" spans="2:8">
      <c r="B50" s="219" t="s">
        <v>509</v>
      </c>
      <c r="C50" s="220">
        <f>(C39*C40+C40*C41+C39*C41)*2</f>
        <v>5880</v>
      </c>
      <c r="D50" s="221" t="s">
        <v>215</v>
      </c>
      <c r="E50" s="32"/>
      <c r="F50" s="32"/>
      <c r="G50" s="32"/>
      <c r="H50" s="1"/>
    </row>
    <row r="51" spans="2:8">
      <c r="B51" s="219" t="s">
        <v>510</v>
      </c>
      <c r="C51" s="32"/>
      <c r="D51" s="32"/>
      <c r="E51" s="32"/>
      <c r="F51" s="218" t="s">
        <v>511</v>
      </c>
      <c r="G51" s="32"/>
      <c r="H51" s="1"/>
    </row>
    <row r="52" spans="2:8">
      <c r="B52" s="32"/>
      <c r="C52" s="32"/>
      <c r="D52" s="32"/>
      <c r="E52" s="32"/>
      <c r="F52" s="32"/>
      <c r="G52" s="32"/>
      <c r="H52" s="1"/>
    </row>
    <row r="53" spans="2:8">
      <c r="B53" s="222"/>
      <c r="C53" s="32"/>
      <c r="D53" s="32"/>
      <c r="E53" s="32"/>
      <c r="F53" s="32"/>
      <c r="G53" s="32"/>
      <c r="H53" s="1"/>
    </row>
  </sheetData>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9"/>
  <dimension ref="B3:D25"/>
  <sheetViews>
    <sheetView workbookViewId="0">
      <selection activeCell="G38" sqref="G38"/>
    </sheetView>
  </sheetViews>
  <sheetFormatPr baseColWidth="10" defaultColWidth="11.42578125" defaultRowHeight="12.75"/>
  <cols>
    <col min="1" max="1" width="11.42578125" style="1"/>
    <col min="2" max="2" width="23.140625" style="1" customWidth="1"/>
    <col min="3" max="16384" width="11.42578125" style="1"/>
  </cols>
  <sheetData>
    <row r="3" spans="2:4">
      <c r="B3" s="1" t="s">
        <v>512</v>
      </c>
    </row>
    <row r="4" spans="2:4">
      <c r="B4" s="3" t="s">
        <v>513</v>
      </c>
    </row>
    <row r="5" spans="2:4">
      <c r="C5" s="1" t="s">
        <v>514</v>
      </c>
    </row>
    <row r="6" spans="2:4">
      <c r="C6" s="1" t="s">
        <v>515</v>
      </c>
    </row>
    <row r="8" spans="2:4">
      <c r="B8" s="1" t="s">
        <v>362</v>
      </c>
    </row>
    <row r="9" spans="2:4">
      <c r="B9" s="165" t="s">
        <v>389</v>
      </c>
      <c r="C9" s="1" t="s">
        <v>516</v>
      </c>
    </row>
    <row r="10" spans="2:4">
      <c r="B10" s="165" t="s">
        <v>391</v>
      </c>
      <c r="C10" s="1" t="s">
        <v>517</v>
      </c>
    </row>
    <row r="12" spans="2:4">
      <c r="B12" s="165" t="s">
        <v>4492</v>
      </c>
      <c r="C12" s="465">
        <v>12</v>
      </c>
      <c r="D12" s="1" t="s">
        <v>212</v>
      </c>
    </row>
    <row r="13" spans="2:4">
      <c r="B13" s="165" t="s">
        <v>483</v>
      </c>
      <c r="C13" s="465">
        <v>1500</v>
      </c>
      <c r="D13" s="1" t="s">
        <v>484</v>
      </c>
    </row>
    <row r="14" spans="2:4">
      <c r="B14" s="165" t="s">
        <v>4493</v>
      </c>
      <c r="C14" s="465">
        <v>1.2</v>
      </c>
    </row>
    <row r="15" spans="2:4">
      <c r="B15" s="165" t="s">
        <v>4495</v>
      </c>
      <c r="C15" s="465">
        <v>14</v>
      </c>
      <c r="D15" s="1" t="s">
        <v>212</v>
      </c>
    </row>
    <row r="16" spans="2:4">
      <c r="B16" s="165"/>
    </row>
    <row r="17" spans="2:4">
      <c r="B17" s="165" t="s">
        <v>211</v>
      </c>
      <c r="C17" s="292">
        <f>C12/2</f>
        <v>6</v>
      </c>
      <c r="D17" s="1" t="s">
        <v>212</v>
      </c>
    </row>
    <row r="18" spans="2:4">
      <c r="B18" s="165" t="s">
        <v>4494</v>
      </c>
      <c r="C18" s="292">
        <f>PI()*C17^2</f>
        <v>113.09733552923255</v>
      </c>
      <c r="D18" s="1" t="s">
        <v>215</v>
      </c>
    </row>
    <row r="19" spans="2:4">
      <c r="B19" s="165" t="s">
        <v>4496</v>
      </c>
      <c r="C19" s="1">
        <f>C18*C15</f>
        <v>1583.3626974092558</v>
      </c>
      <c r="D19" s="1" t="s">
        <v>484</v>
      </c>
    </row>
    <row r="20" spans="2:4">
      <c r="B20" s="165"/>
    </row>
    <row r="21" spans="2:4">
      <c r="B21" s="287" t="str">
        <f>"a) Für das Abdecken der Spule sind "&amp;ROUND(C19,2)&amp;" cm³ nötig, das vorhandene Volumen ist "&amp;C13&amp;" cm³"</f>
        <v>a) Für das Abdecken der Spule sind 1583,36 cm³ nötig, das vorhandene Volumen ist 1500 cm³</v>
      </c>
    </row>
    <row r="22" spans="2:4">
      <c r="B22" s="165"/>
    </row>
    <row r="23" spans="2:4">
      <c r="B23" s="165" t="s">
        <v>4497</v>
      </c>
      <c r="C23" s="1">
        <f>C13*C14</f>
        <v>1800</v>
      </c>
      <c r="D23" s="1" t="s">
        <v>4498</v>
      </c>
    </row>
    <row r="25" spans="2:4">
      <c r="B25" s="1" t="str">
        <f>"b) Der Entwickler wiegt "&amp; ROUND(C23/1000,2) &amp; " Kilogramm."</f>
        <v>b) Der Entwickler wiegt 1,8 Kilogramm.</v>
      </c>
    </row>
  </sheetData>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dimension ref="A2:I132"/>
  <sheetViews>
    <sheetView workbookViewId="0">
      <selection activeCell="G34" sqref="G34"/>
    </sheetView>
  </sheetViews>
  <sheetFormatPr baseColWidth="10" defaultColWidth="11.42578125" defaultRowHeight="12.75"/>
  <cols>
    <col min="1" max="1" width="11.42578125" style="1"/>
    <col min="2" max="2" width="14.28515625" style="1" customWidth="1"/>
    <col min="3" max="4" width="13.85546875" style="1" customWidth="1"/>
    <col min="5" max="5" width="13" style="1" customWidth="1"/>
    <col min="6" max="16384" width="11.42578125" style="1"/>
  </cols>
  <sheetData>
    <row r="2" spans="2:3">
      <c r="B2" s="2" t="s">
        <v>386</v>
      </c>
    </row>
    <row r="4" spans="2:3">
      <c r="B4" s="1" t="s">
        <v>387</v>
      </c>
    </row>
    <row r="6" spans="2:3">
      <c r="B6" s="1" t="s">
        <v>388</v>
      </c>
    </row>
    <row r="7" spans="2:3">
      <c r="B7" s="165" t="s">
        <v>389</v>
      </c>
      <c r="C7" s="1" t="s">
        <v>390</v>
      </c>
    </row>
    <row r="8" spans="2:3">
      <c r="B8" s="165" t="s">
        <v>391</v>
      </c>
      <c r="C8" s="1" t="s">
        <v>392</v>
      </c>
    </row>
    <row r="10" spans="2:3">
      <c r="B10" s="1" t="s">
        <v>393</v>
      </c>
    </row>
    <row r="11" spans="2:3">
      <c r="B11" s="165" t="s">
        <v>389</v>
      </c>
      <c r="C11" s="1" t="s">
        <v>394</v>
      </c>
    </row>
    <row r="12" spans="2:3">
      <c r="B12" s="165" t="s">
        <v>391</v>
      </c>
      <c r="C12" s="1" t="s">
        <v>395</v>
      </c>
    </row>
    <row r="13" spans="2:3">
      <c r="B13" s="165" t="s">
        <v>396</v>
      </c>
      <c r="C13" s="1" t="s">
        <v>397</v>
      </c>
    </row>
    <row r="15" spans="2:3">
      <c r="B15" s="1" t="s">
        <v>398</v>
      </c>
    </row>
    <row r="17" spans="2:5">
      <c r="B17" s="1" t="s">
        <v>399</v>
      </c>
    </row>
    <row r="19" spans="2:5">
      <c r="B19" s="1" t="s">
        <v>400</v>
      </c>
    </row>
    <row r="20" spans="2:5">
      <c r="B20" s="165" t="s">
        <v>389</v>
      </c>
      <c r="C20" s="1" t="s">
        <v>401</v>
      </c>
    </row>
    <row r="21" spans="2:5">
      <c r="B21" s="165" t="s">
        <v>391</v>
      </c>
      <c r="C21" s="1" t="s">
        <v>402</v>
      </c>
    </row>
    <row r="22" spans="2:5">
      <c r="C22" s="1" t="s">
        <v>403</v>
      </c>
    </row>
    <row r="24" spans="2:5">
      <c r="B24" s="1" t="s">
        <v>404</v>
      </c>
    </row>
    <row r="26" spans="2:5">
      <c r="B26" s="1" t="s">
        <v>405</v>
      </c>
    </row>
    <row r="28" spans="2:5">
      <c r="B28" s="1" t="s">
        <v>406</v>
      </c>
      <c r="C28" s="1" t="s">
        <v>407</v>
      </c>
      <c r="D28" s="1" t="s">
        <v>408</v>
      </c>
      <c r="E28" s="1" t="s">
        <v>409</v>
      </c>
    </row>
    <row r="29" spans="2:5">
      <c r="B29" s="166" t="s">
        <v>410</v>
      </c>
      <c r="C29" s="166"/>
      <c r="D29" s="166" t="s">
        <v>411</v>
      </c>
      <c r="E29" s="166"/>
    </row>
    <row r="30" spans="2:5">
      <c r="B30" s="166"/>
      <c r="C30" s="166" t="s">
        <v>412</v>
      </c>
      <c r="D30" s="166" t="s">
        <v>413</v>
      </c>
      <c r="E30" s="166"/>
    </row>
    <row r="31" spans="2:5">
      <c r="B31" s="166" t="s">
        <v>414</v>
      </c>
      <c r="C31" s="166"/>
      <c r="D31" s="166"/>
      <c r="E31" s="167">
        <v>0.21</v>
      </c>
    </row>
    <row r="32" spans="2:5">
      <c r="B32" s="166"/>
      <c r="C32" s="166" t="s">
        <v>415</v>
      </c>
      <c r="D32" s="166"/>
      <c r="E32" s="168">
        <v>4.5999999999999999E-2</v>
      </c>
    </row>
    <row r="33" spans="1:9">
      <c r="B33" s="169"/>
      <c r="C33" s="169"/>
      <c r="D33" s="169"/>
      <c r="E33" s="170"/>
    </row>
    <row r="34" spans="1:9">
      <c r="B34" s="169"/>
      <c r="C34" s="169"/>
      <c r="D34" s="169"/>
      <c r="E34" s="170"/>
    </row>
    <row r="37" spans="1:9" ht="18">
      <c r="A37" s="8"/>
      <c r="B37" s="171" t="s">
        <v>416</v>
      </c>
      <c r="C37" s="172"/>
      <c r="D37" s="172"/>
      <c r="E37" s="172"/>
      <c r="F37" s="172"/>
      <c r="G37" s="172"/>
      <c r="H37" s="8"/>
      <c r="I37" s="8"/>
    </row>
    <row r="38" spans="1:9">
      <c r="A38" s="8"/>
      <c r="B38" s="8"/>
      <c r="C38" s="8"/>
      <c r="D38" s="8"/>
      <c r="E38" s="8"/>
      <c r="F38" s="8"/>
      <c r="G38" s="8"/>
      <c r="H38" s="8"/>
      <c r="I38" s="8"/>
    </row>
    <row r="39" spans="1:9">
      <c r="A39" s="7"/>
      <c r="B39" s="8" t="s">
        <v>417</v>
      </c>
      <c r="C39" s="8"/>
      <c r="D39" s="8"/>
      <c r="E39" s="8"/>
      <c r="F39" s="8"/>
      <c r="G39" s="8"/>
      <c r="H39" s="8"/>
      <c r="I39" s="8"/>
    </row>
    <row r="40" spans="1:9">
      <c r="A40" s="7"/>
      <c r="B40" s="8" t="s">
        <v>418</v>
      </c>
      <c r="C40" s="8"/>
      <c r="D40" s="8"/>
      <c r="E40" s="8"/>
      <c r="F40" s="8"/>
      <c r="G40" s="8"/>
      <c r="H40" s="8"/>
      <c r="I40" s="8"/>
    </row>
    <row r="41" spans="1:9">
      <c r="A41" s="7"/>
      <c r="B41" s="8" t="s">
        <v>419</v>
      </c>
      <c r="C41" s="8"/>
      <c r="D41" s="8"/>
      <c r="E41" s="8"/>
      <c r="F41" s="8"/>
      <c r="G41" s="8"/>
      <c r="H41" s="8"/>
      <c r="I41" s="8"/>
    </row>
    <row r="42" spans="1:9">
      <c r="A42" s="7"/>
      <c r="B42" s="8" t="s">
        <v>420</v>
      </c>
      <c r="C42" s="8"/>
      <c r="D42" s="8"/>
      <c r="E42" s="8"/>
      <c r="F42" s="8"/>
      <c r="G42" s="8"/>
      <c r="H42" s="8"/>
      <c r="I42" s="8"/>
    </row>
    <row r="43" spans="1:9">
      <c r="A43" s="7"/>
      <c r="B43" s="8" t="s">
        <v>421</v>
      </c>
      <c r="C43" s="8"/>
      <c r="D43" s="8"/>
      <c r="E43" s="8"/>
      <c r="F43" s="8"/>
      <c r="G43" s="8"/>
      <c r="H43" s="8"/>
      <c r="I43" s="8"/>
    </row>
    <row r="44" spans="1:9">
      <c r="A44" s="7"/>
      <c r="B44" s="8" t="s">
        <v>422</v>
      </c>
      <c r="C44" s="8"/>
      <c r="D44" s="8"/>
      <c r="E44" s="8"/>
      <c r="F44" s="8"/>
      <c r="G44" s="8"/>
      <c r="H44" s="8"/>
      <c r="I44" s="8"/>
    </row>
    <row r="45" spans="1:9">
      <c r="A45" s="7"/>
      <c r="B45" s="8"/>
      <c r="C45" s="8"/>
      <c r="D45" s="8"/>
      <c r="E45" s="8"/>
      <c r="F45" s="8"/>
      <c r="G45" s="8"/>
      <c r="H45" s="8"/>
      <c r="I45" s="8"/>
    </row>
    <row r="46" spans="1:9">
      <c r="A46" s="7"/>
      <c r="B46" s="8" t="s">
        <v>423</v>
      </c>
      <c r="C46" s="8"/>
      <c r="D46" s="8"/>
      <c r="E46" s="8"/>
      <c r="F46" s="8"/>
      <c r="G46" s="8"/>
      <c r="H46" s="8"/>
      <c r="I46" s="8"/>
    </row>
    <row r="47" spans="1:9">
      <c r="A47" s="7"/>
      <c r="B47" s="8" t="s">
        <v>424</v>
      </c>
      <c r="C47" s="8"/>
      <c r="D47" s="8"/>
      <c r="E47" s="8"/>
      <c r="F47" s="8"/>
      <c r="G47" s="8"/>
      <c r="H47" s="8"/>
      <c r="I47" s="8"/>
    </row>
    <row r="48" spans="1:9">
      <c r="A48" s="7"/>
      <c r="B48" s="8"/>
      <c r="C48" s="8"/>
      <c r="D48" s="8"/>
      <c r="E48" s="8"/>
      <c r="F48" s="8"/>
      <c r="G48" s="8"/>
      <c r="H48" s="8"/>
      <c r="I48" s="8"/>
    </row>
    <row r="49" spans="1:9">
      <c r="A49" s="7"/>
      <c r="B49" s="8" t="s">
        <v>425</v>
      </c>
      <c r="C49" s="8"/>
      <c r="D49" s="8"/>
      <c r="E49" s="8"/>
      <c r="F49" s="8" t="s">
        <v>426</v>
      </c>
      <c r="G49" s="8"/>
      <c r="H49" s="8"/>
      <c r="I49" s="8"/>
    </row>
    <row r="50" spans="1:9">
      <c r="A50" s="7"/>
      <c r="B50" s="8" t="s">
        <v>427</v>
      </c>
      <c r="C50" s="8"/>
      <c r="D50" s="8"/>
      <c r="E50" s="8"/>
      <c r="F50" s="8" t="s">
        <v>428</v>
      </c>
      <c r="G50" s="8"/>
      <c r="H50" s="8"/>
      <c r="I50" s="8"/>
    </row>
    <row r="51" spans="1:9">
      <c r="A51" s="7"/>
      <c r="B51" s="8" t="s">
        <v>429</v>
      </c>
      <c r="C51" s="8"/>
      <c r="D51" s="8"/>
      <c r="E51" s="8"/>
      <c r="F51" s="8" t="s">
        <v>430</v>
      </c>
      <c r="G51" s="8"/>
      <c r="H51" s="8"/>
      <c r="I51" s="8"/>
    </row>
    <row r="52" spans="1:9">
      <c r="A52" s="7"/>
      <c r="B52" s="8"/>
      <c r="C52" s="8"/>
      <c r="D52" s="8"/>
      <c r="E52" s="8"/>
      <c r="F52" s="8"/>
      <c r="G52" s="8"/>
      <c r="H52" s="8"/>
      <c r="I52" s="8"/>
    </row>
    <row r="53" spans="1:9">
      <c r="A53" s="7"/>
      <c r="B53" s="8" t="s">
        <v>431</v>
      </c>
      <c r="C53" s="8"/>
      <c r="D53" s="8"/>
      <c r="E53" s="8"/>
      <c r="F53" s="8"/>
      <c r="G53" s="8"/>
      <c r="H53" s="8"/>
      <c r="I53" s="8"/>
    </row>
    <row r="54" spans="1:9">
      <c r="A54" s="7"/>
      <c r="B54" s="8" t="s">
        <v>432</v>
      </c>
      <c r="C54" s="8"/>
      <c r="D54" s="8"/>
      <c r="E54" s="8"/>
      <c r="F54" s="8"/>
      <c r="G54" s="8"/>
      <c r="H54" s="8"/>
      <c r="I54" s="8"/>
    </row>
    <row r="55" spans="1:9">
      <c r="A55" s="7"/>
      <c r="B55" s="8" t="s">
        <v>433</v>
      </c>
      <c r="C55" s="8"/>
      <c r="D55" s="8"/>
      <c r="E55" s="173"/>
      <c r="F55" s="173"/>
      <c r="G55" s="8"/>
      <c r="H55" s="8"/>
      <c r="I55" s="8"/>
    </row>
    <row r="56" spans="1:9">
      <c r="A56" s="7"/>
      <c r="B56" s="8"/>
      <c r="C56" s="8"/>
      <c r="D56" s="8"/>
      <c r="E56" s="8"/>
      <c r="F56" s="8"/>
      <c r="G56" s="8"/>
      <c r="H56" s="8"/>
      <c r="I56" s="8"/>
    </row>
    <row r="57" spans="1:9">
      <c r="A57" s="7"/>
      <c r="B57" s="174" t="s">
        <v>426</v>
      </c>
      <c r="C57" s="8"/>
      <c r="D57" s="174" t="s">
        <v>434</v>
      </c>
      <c r="E57" s="8" t="s">
        <v>435</v>
      </c>
      <c r="F57" s="8"/>
      <c r="G57" s="8"/>
      <c r="H57" s="8"/>
      <c r="I57" s="8"/>
    </row>
    <row r="58" spans="1:9">
      <c r="A58" s="175"/>
      <c r="B58" s="175"/>
      <c r="C58" s="175"/>
      <c r="D58" s="175"/>
      <c r="E58" s="8"/>
      <c r="F58" s="8"/>
      <c r="G58" s="8"/>
      <c r="H58" s="8"/>
      <c r="I58" s="8"/>
    </row>
    <row r="59" spans="1:9">
      <c r="A59" s="7"/>
      <c r="B59" s="8"/>
      <c r="C59" s="8"/>
      <c r="D59" s="8"/>
      <c r="E59" s="8"/>
      <c r="F59" s="8"/>
      <c r="G59" s="8"/>
      <c r="H59" s="8"/>
      <c r="I59" s="8"/>
    </row>
    <row r="60" spans="1:9">
      <c r="A60" s="7"/>
      <c r="B60"/>
      <c r="E60"/>
      <c r="F60" s="8"/>
      <c r="G60" s="8"/>
      <c r="H60" s="8"/>
      <c r="I60" s="8"/>
    </row>
    <row r="61" spans="1:9" ht="15.75">
      <c r="A61" s="7"/>
      <c r="B61" s="176"/>
      <c r="C61" s="174" t="s">
        <v>430</v>
      </c>
      <c r="D61" s="177"/>
      <c r="E61" s="8"/>
      <c r="F61" s="8"/>
      <c r="G61" s="8"/>
      <c r="H61" s="8"/>
      <c r="I61" s="8"/>
    </row>
    <row r="62" spans="1:9" ht="15.75">
      <c r="A62" s="7"/>
      <c r="B62" s="176"/>
      <c r="C62" s="176"/>
      <c r="D62" s="176"/>
      <c r="E62" s="176"/>
      <c r="F62" s="8"/>
      <c r="G62" s="8"/>
      <c r="H62" s="8"/>
      <c r="I62" s="8"/>
    </row>
    <row r="63" spans="1:9">
      <c r="A63" s="7"/>
      <c r="B63" s="178"/>
      <c r="C63" s="8"/>
      <c r="D63" s="8"/>
      <c r="E63" s="179"/>
      <c r="F63" s="8"/>
      <c r="G63" s="8"/>
      <c r="H63" s="8"/>
      <c r="I63" s="8"/>
    </row>
    <row r="64" spans="1:9">
      <c r="A64" s="7"/>
      <c r="B64" s="174" t="s">
        <v>428</v>
      </c>
      <c r="C64" s="175"/>
      <c r="D64" s="174" t="s">
        <v>436</v>
      </c>
      <c r="E64" s="8" t="s">
        <v>437</v>
      </c>
      <c r="F64" s="8"/>
      <c r="G64" s="8"/>
      <c r="H64" s="8"/>
      <c r="I64" s="8"/>
    </row>
    <row r="65" spans="1:9">
      <c r="A65" s="7"/>
      <c r="B65"/>
      <c r="C65" s="8"/>
      <c r="D65"/>
      <c r="E65" s="8"/>
      <c r="F65" s="8"/>
      <c r="G65" s="8"/>
      <c r="H65" s="8"/>
      <c r="I65" s="8"/>
    </row>
    <row r="66" spans="1:9">
      <c r="A66" s="7"/>
      <c r="B66" s="172"/>
      <c r="C66"/>
      <c r="G66" s="8"/>
      <c r="H66" s="8"/>
      <c r="I66" s="8"/>
    </row>
    <row r="67" spans="1:9">
      <c r="A67" s="7"/>
      <c r="B67" s="8"/>
      <c r="C67" s="172" t="s">
        <v>438</v>
      </c>
      <c r="D67" s="174" t="s">
        <v>439</v>
      </c>
      <c r="E67" s="180" t="s">
        <v>440</v>
      </c>
      <c r="F67" s="180"/>
      <c r="G67" s="8"/>
      <c r="H67" s="8"/>
      <c r="I67" s="8"/>
    </row>
    <row r="68" spans="1:9">
      <c r="A68" s="7"/>
      <c r="B68" s="8"/>
      <c r="C68" s="8"/>
      <c r="D68" s="8"/>
      <c r="E68" s="8"/>
      <c r="F68" s="8"/>
      <c r="G68" s="8"/>
      <c r="H68" s="8"/>
      <c r="I68" s="8"/>
    </row>
    <row r="69" spans="1:9">
      <c r="A69" s="7"/>
      <c r="B69" s="175"/>
      <c r="C69" s="24"/>
      <c r="D69" s="24"/>
      <c r="E69" s="24"/>
      <c r="F69" s="24"/>
      <c r="G69" s="180"/>
      <c r="H69" s="180"/>
      <c r="I69" s="8"/>
    </row>
    <row r="70" spans="1:9">
      <c r="A70" s="7"/>
      <c r="B70" s="8"/>
      <c r="C70" s="8"/>
      <c r="D70" s="180"/>
      <c r="E70" s="180"/>
      <c r="F70" s="180"/>
      <c r="G70" s="180"/>
      <c r="H70" s="180"/>
      <c r="I70" s="8"/>
    </row>
    <row r="71" spans="1:9">
      <c r="A71" s="7"/>
      <c r="B71" s="180" t="s">
        <v>441</v>
      </c>
      <c r="C71" s="8"/>
      <c r="D71" s="8"/>
      <c r="E71"/>
      <c r="F71" s="180"/>
      <c r="G71" s="180"/>
      <c r="H71" s="180"/>
      <c r="I71" s="8"/>
    </row>
    <row r="72" spans="1:9">
      <c r="A72" s="7"/>
      <c r="B72" s="180" t="s">
        <v>442</v>
      </c>
      <c r="C72" s="8"/>
      <c r="D72" s="8"/>
      <c r="E72" s="180"/>
      <c r="F72" s="180"/>
      <c r="G72" s="180"/>
      <c r="H72" s="180"/>
      <c r="I72" s="8"/>
    </row>
    <row r="73" spans="1:9">
      <c r="A73" s="7"/>
      <c r="B73" s="8" t="s">
        <v>443</v>
      </c>
      <c r="C73" s="8"/>
      <c r="D73" s="8"/>
      <c r="E73" s="180"/>
      <c r="F73" s="180"/>
      <c r="G73" s="180"/>
      <c r="H73" s="180"/>
      <c r="I73" s="8"/>
    </row>
    <row r="74" spans="1:9">
      <c r="A74" s="7"/>
      <c r="B74" s="8" t="s">
        <v>444</v>
      </c>
      <c r="C74" s="8"/>
      <c r="D74" s="8"/>
      <c r="E74" s="180"/>
      <c r="F74" s="180"/>
      <c r="G74" s="180"/>
      <c r="H74" s="180"/>
      <c r="I74" s="8"/>
    </row>
    <row r="75" spans="1:9">
      <c r="A75" s="7"/>
      <c r="B75"/>
      <c r="C75" s="8"/>
      <c r="D75" s="8"/>
      <c r="E75" s="180"/>
      <c r="F75" s="180"/>
      <c r="G75" s="180"/>
      <c r="H75" s="180"/>
      <c r="I75" s="8"/>
    </row>
    <row r="76" spans="1:9">
      <c r="A76" s="7"/>
      <c r="B76" s="8" t="s">
        <v>445</v>
      </c>
      <c r="C76" s="8"/>
      <c r="D76" s="8"/>
      <c r="E76" s="180"/>
      <c r="F76" s="180"/>
      <c r="G76" s="180"/>
      <c r="H76" s="180"/>
      <c r="I76" s="8"/>
    </row>
    <row r="77" spans="1:9">
      <c r="A77" s="7"/>
      <c r="B77" s="8"/>
      <c r="C77" s="8"/>
      <c r="D77" s="8"/>
      <c r="E77" s="180"/>
      <c r="F77" s="180"/>
      <c r="G77" s="180"/>
      <c r="H77" s="180"/>
      <c r="I77" s="8"/>
    </row>
    <row r="78" spans="1:9">
      <c r="A78" s="7"/>
      <c r="B78" s="8" t="s">
        <v>446</v>
      </c>
      <c r="C78" s="8"/>
      <c r="D78" s="8"/>
      <c r="E78" s="180"/>
      <c r="F78" s="180"/>
      <c r="G78" s="180"/>
      <c r="H78" s="180"/>
      <c r="I78" s="8"/>
    </row>
    <row r="79" spans="1:9">
      <c r="A79" s="7"/>
      <c r="B79" s="8"/>
      <c r="C79" s="8"/>
      <c r="D79" s="8"/>
      <c r="E79" s="180"/>
      <c r="F79" s="180"/>
      <c r="G79" s="180"/>
      <c r="H79" s="180"/>
      <c r="I79" s="8"/>
    </row>
    <row r="80" spans="1:9" ht="15">
      <c r="A80" s="7"/>
      <c r="B80" s="13" t="s">
        <v>447</v>
      </c>
      <c r="C80" s="14"/>
      <c r="D80" s="14"/>
      <c r="E80" s="181"/>
      <c r="F80" s="181"/>
      <c r="G80" s="180"/>
      <c r="H80" s="180"/>
      <c r="I80" s="8"/>
    </row>
    <row r="81" spans="1:9">
      <c r="A81" s="7"/>
      <c r="B81" s="8"/>
      <c r="C81" s="8"/>
      <c r="D81" s="8"/>
      <c r="E81" s="180"/>
      <c r="F81" s="180"/>
      <c r="G81" s="180"/>
      <c r="H81" s="180"/>
      <c r="I81" s="8"/>
    </row>
    <row r="82" spans="1:9">
      <c r="A82" s="7"/>
      <c r="B82" s="8" t="s">
        <v>448</v>
      </c>
      <c r="C82" s="8"/>
      <c r="D82" s="8"/>
      <c r="E82" s="8"/>
      <c r="F82" s="8"/>
      <c r="G82" s="8"/>
      <c r="H82" s="8"/>
      <c r="I82" s="8"/>
    </row>
    <row r="83" spans="1:9">
      <c r="A83" s="7"/>
      <c r="B83" s="8"/>
      <c r="C83" s="8"/>
      <c r="D83" s="8"/>
      <c r="E83" s="8"/>
      <c r="F83" s="8"/>
      <c r="G83" s="8"/>
      <c r="H83" s="8"/>
      <c r="I83" s="8"/>
    </row>
    <row r="84" spans="1:9">
      <c r="A84" s="7"/>
      <c r="B84" s="182" t="s">
        <v>449</v>
      </c>
      <c r="C84" s="183"/>
      <c r="D84" s="183"/>
      <c r="E84" s="183"/>
      <c r="F84" s="183"/>
      <c r="G84" s="183"/>
      <c r="H84" s="183"/>
      <c r="I84" s="8"/>
    </row>
    <row r="85" spans="1:9">
      <c r="A85" s="10"/>
      <c r="B85" s="11"/>
      <c r="C85" s="11"/>
      <c r="D85" s="11"/>
      <c r="E85" s="11"/>
      <c r="F85" s="11"/>
      <c r="G85" s="11"/>
      <c r="H85" s="11"/>
      <c r="I85" s="8"/>
    </row>
    <row r="86" spans="1:9">
      <c r="I86" s="8"/>
    </row>
    <row r="87" spans="1:9">
      <c r="I87" s="8"/>
    </row>
    <row r="89" spans="1:9">
      <c r="A89" s="8"/>
      <c r="B89" s="172"/>
      <c r="C89" s="8"/>
      <c r="D89" s="8"/>
      <c r="E89" s="8"/>
      <c r="F89" s="8"/>
      <c r="G89" s="8"/>
      <c r="H89" s="8"/>
    </row>
    <row r="90" spans="1:9">
      <c r="A90" s="8"/>
      <c r="B90" s="175"/>
      <c r="C90" s="24"/>
      <c r="D90" s="172"/>
      <c r="E90" s="172"/>
      <c r="F90" s="172"/>
      <c r="G90" s="172"/>
      <c r="H90" s="8"/>
    </row>
    <row r="91" spans="1:9">
      <c r="A91" s="8"/>
      <c r="B91"/>
      <c r="C91" s="8"/>
      <c r="D91" s="8"/>
      <c r="E91" s="8"/>
      <c r="F91" s="8"/>
      <c r="G91" s="8"/>
      <c r="H91" s="8"/>
    </row>
    <row r="92" spans="1:9">
      <c r="A92" s="175"/>
      <c r="B92" s="184" t="s">
        <v>450</v>
      </c>
      <c r="C92" s="175"/>
      <c r="D92" s="175"/>
      <c r="E92" s="175"/>
      <c r="F92" s="175"/>
      <c r="G92" s="175"/>
      <c r="H92" s="175"/>
    </row>
    <row r="93" spans="1:9">
      <c r="A93" s="175"/>
      <c r="B93" s="185"/>
      <c r="C93" s="175"/>
      <c r="D93" s="175"/>
      <c r="E93" s="175"/>
      <c r="F93" s="175"/>
      <c r="G93" s="175"/>
      <c r="H93" s="175"/>
    </row>
    <row r="94" spans="1:9">
      <c r="A94" s="185"/>
      <c r="B94" s="185" t="s">
        <v>451</v>
      </c>
      <c r="C94" s="175"/>
      <c r="D94" s="175"/>
      <c r="E94" s="175"/>
      <c r="F94" s="175"/>
      <c r="G94" s="175"/>
      <c r="H94" s="175"/>
    </row>
    <row r="95" spans="1:9">
      <c r="A95" s="185"/>
      <c r="B95" s="185"/>
      <c r="C95" s="175"/>
      <c r="D95" s="175"/>
      <c r="E95" s="175"/>
      <c r="F95" s="175"/>
      <c r="G95" s="175"/>
      <c r="H95" s="175"/>
    </row>
    <row r="96" spans="1:9">
      <c r="A96" s="175"/>
      <c r="B96" s="186" t="s">
        <v>452</v>
      </c>
      <c r="C96" s="175"/>
      <c r="D96" s="175"/>
      <c r="E96" s="175"/>
      <c r="F96" s="175"/>
      <c r="G96" s="175"/>
      <c r="H96" s="175"/>
    </row>
    <row r="97" spans="1:8">
      <c r="A97" s="175"/>
      <c r="B97" s="186" t="s">
        <v>453</v>
      </c>
      <c r="C97" s="175"/>
      <c r="D97" s="175"/>
      <c r="E97" s="175"/>
      <c r="F97" s="175"/>
      <c r="G97" s="175"/>
      <c r="H97" s="175"/>
    </row>
    <row r="98" spans="1:8">
      <c r="A98" s="175"/>
      <c r="B98" s="186" t="s">
        <v>454</v>
      </c>
      <c r="C98" s="175"/>
      <c r="D98" s="175"/>
      <c r="E98" s="175"/>
      <c r="F98" s="175"/>
      <c r="G98" s="175"/>
      <c r="H98" s="175"/>
    </row>
    <row r="99" spans="1:8">
      <c r="A99" s="175"/>
      <c r="B99" s="186" t="s">
        <v>455</v>
      </c>
      <c r="C99" s="175"/>
      <c r="D99" s="175"/>
      <c r="E99" s="175"/>
      <c r="F99" s="175"/>
      <c r="G99" s="175"/>
      <c r="H99" s="175"/>
    </row>
    <row r="100" spans="1:8">
      <c r="A100" s="175"/>
      <c r="B100" s="186" t="s">
        <v>456</v>
      </c>
      <c r="C100" s="175"/>
      <c r="D100" s="175"/>
      <c r="E100" s="175"/>
      <c r="F100" s="175"/>
      <c r="G100" s="175"/>
      <c r="H100" s="175"/>
    </row>
    <row r="101" spans="1:8">
      <c r="A101" s="8"/>
      <c r="B101" s="8"/>
      <c r="C101" s="8"/>
      <c r="D101" s="8"/>
      <c r="E101" s="8"/>
      <c r="F101" s="8"/>
      <c r="G101" s="8"/>
      <c r="H101" s="8"/>
    </row>
    <row r="102" spans="1:8">
      <c r="A102" s="4"/>
      <c r="B102" s="187"/>
      <c r="C102" s="5"/>
      <c r="D102" s="5"/>
      <c r="E102" s="5"/>
      <c r="F102" s="5"/>
      <c r="G102" s="5"/>
      <c r="H102" s="6"/>
    </row>
    <row r="103" spans="1:8">
      <c r="A103" s="7"/>
      <c r="B103" s="8" t="s">
        <v>457</v>
      </c>
      <c r="C103" s="8" t="s">
        <v>458</v>
      </c>
      <c r="D103" s="8"/>
      <c r="E103" s="184">
        <v>68</v>
      </c>
      <c r="F103" s="188" t="s">
        <v>459</v>
      </c>
      <c r="G103" s="8" t="s">
        <v>460</v>
      </c>
      <c r="H103" s="189">
        <v>1.40455</v>
      </c>
    </row>
    <row r="104" spans="1:8">
      <c r="A104" s="7"/>
      <c r="B104" s="177"/>
      <c r="C104" s="190" t="s">
        <v>461</v>
      </c>
      <c r="D104" s="8"/>
      <c r="E104" s="184">
        <v>10</v>
      </c>
      <c r="F104" s="8" t="s">
        <v>462</v>
      </c>
      <c r="G104" s="8"/>
      <c r="H104" s="191">
        <v>1.0543</v>
      </c>
    </row>
    <row r="105" spans="1:8">
      <c r="A105" s="7"/>
      <c r="B105" s="177"/>
      <c r="C105" s="190"/>
      <c r="D105" s="8"/>
      <c r="E105" s="38"/>
      <c r="F105" s="8"/>
      <c r="G105" s="8"/>
      <c r="H105" s="9"/>
    </row>
    <row r="106" spans="1:8">
      <c r="A106" s="7"/>
      <c r="B106" s="177"/>
      <c r="C106" s="8" t="s">
        <v>463</v>
      </c>
      <c r="D106" s="8"/>
      <c r="E106" s="184">
        <v>15</v>
      </c>
      <c r="F106" s="8" t="s">
        <v>462</v>
      </c>
      <c r="G106" s="8"/>
      <c r="H106" s="191">
        <v>1.0842000000000001</v>
      </c>
    </row>
    <row r="107" spans="1:8">
      <c r="A107" s="7"/>
      <c r="B107" s="177"/>
      <c r="C107" s="8" t="s">
        <v>464</v>
      </c>
      <c r="D107" s="8"/>
      <c r="E107" s="184">
        <v>1000</v>
      </c>
      <c r="F107" s="175" t="s">
        <v>465</v>
      </c>
      <c r="G107" s="8"/>
      <c r="H107" s="9"/>
    </row>
    <row r="108" spans="1:8">
      <c r="A108" s="7"/>
      <c r="B108" s="178"/>
      <c r="C108" s="8"/>
      <c r="D108" s="8"/>
      <c r="E108" s="8"/>
      <c r="F108" s="8"/>
      <c r="G108" s="8"/>
      <c r="H108" s="9"/>
    </row>
    <row r="109" spans="1:8">
      <c r="A109" s="7"/>
      <c r="B109" s="38"/>
      <c r="C109" s="8"/>
      <c r="D109" s="8"/>
      <c r="E109" s="38"/>
      <c r="F109" s="8"/>
      <c r="G109" s="8"/>
      <c r="H109" s="9"/>
    </row>
    <row r="110" spans="1:8">
      <c r="A110" s="7"/>
      <c r="B110" s="192">
        <f>E103</f>
        <v>68</v>
      </c>
      <c r="C110" s="185"/>
      <c r="D110" s="192">
        <f>E106-E104</f>
        <v>5</v>
      </c>
      <c r="E110" s="175" t="s">
        <v>466</v>
      </c>
      <c r="F110" s="175"/>
      <c r="G110" s="193">
        <f>D110/H103</f>
        <v>3.5598590295824288</v>
      </c>
      <c r="H110" s="194" t="s">
        <v>465</v>
      </c>
    </row>
    <row r="111" spans="1:8" ht="15.75">
      <c r="A111" s="7"/>
      <c r="B111" s="195"/>
      <c r="C111" s="175"/>
      <c r="D111" s="175"/>
      <c r="E111" s="175"/>
      <c r="F111" s="175"/>
      <c r="G111" s="175"/>
      <c r="H111" s="194"/>
    </row>
    <row r="112" spans="1:8" ht="15.75">
      <c r="A112" s="7"/>
      <c r="B112" s="195"/>
      <c r="C112" s="192">
        <f>E106</f>
        <v>15</v>
      </c>
      <c r="D112" s="175"/>
      <c r="E112" s="175"/>
      <c r="F112" s="175"/>
      <c r="G112" s="175"/>
      <c r="H112" s="194"/>
    </row>
    <row r="113" spans="1:8">
      <c r="A113" s="7"/>
      <c r="B113" s="196"/>
      <c r="C113" s="175"/>
      <c r="D113" s="175"/>
      <c r="E113" s="197"/>
      <c r="F113" s="175"/>
      <c r="G113" s="175"/>
      <c r="H113" s="194"/>
    </row>
    <row r="114" spans="1:8">
      <c r="A114" s="7"/>
      <c r="B114" s="192">
        <f>E104</f>
        <v>10</v>
      </c>
      <c r="C114" s="175"/>
      <c r="D114" s="192">
        <f>E103-E106</f>
        <v>53</v>
      </c>
      <c r="E114" s="175" t="s">
        <v>466</v>
      </c>
      <c r="F114" s="175"/>
      <c r="G114" s="193">
        <f>D114/H104</f>
        <v>50.27032154035853</v>
      </c>
      <c r="H114" s="194" t="s">
        <v>465</v>
      </c>
    </row>
    <row r="115" spans="1:8">
      <c r="A115" s="7"/>
      <c r="B115" s="175"/>
      <c r="C115" s="175"/>
      <c r="D115" s="175"/>
      <c r="E115" s="175"/>
      <c r="F115" s="175"/>
      <c r="G115" s="175"/>
      <c r="H115" s="194"/>
    </row>
    <row r="116" spans="1:8">
      <c r="A116" s="7"/>
      <c r="B116" s="185"/>
      <c r="C116" s="185" t="s">
        <v>438</v>
      </c>
      <c r="D116" s="192">
        <f>SUM(D110:D114)</f>
        <v>58</v>
      </c>
      <c r="E116" s="175" t="s">
        <v>466</v>
      </c>
      <c r="F116" s="175"/>
      <c r="G116" s="193">
        <f>D116/H106</f>
        <v>53.49566500645637</v>
      </c>
      <c r="H116" s="194" t="s">
        <v>465</v>
      </c>
    </row>
    <row r="117" spans="1:8">
      <c r="A117" s="7"/>
      <c r="B117" s="185"/>
      <c r="C117" s="185"/>
      <c r="D117" s="185"/>
      <c r="E117" s="198"/>
      <c r="F117" s="175"/>
      <c r="G117" s="175"/>
      <c r="H117" s="194"/>
    </row>
    <row r="118" spans="1:8">
      <c r="A118" s="7"/>
      <c r="B118" s="185"/>
      <c r="C118" s="185"/>
      <c r="D118" s="185"/>
      <c r="E118" s="175"/>
      <c r="F118" s="175"/>
      <c r="G118" s="175"/>
      <c r="H118" s="194"/>
    </row>
    <row r="119" spans="1:8">
      <c r="A119" s="7"/>
      <c r="B119" s="185" t="s">
        <v>467</v>
      </c>
      <c r="C119" s="185"/>
      <c r="D119" s="185"/>
      <c r="E119" s="175"/>
      <c r="F119" s="175"/>
      <c r="G119" s="175"/>
      <c r="H119" s="194"/>
    </row>
    <row r="120" spans="1:8">
      <c r="A120" s="7"/>
      <c r="B120" s="175"/>
      <c r="C120" s="199">
        <f>D110</f>
        <v>5</v>
      </c>
      <c r="D120" s="200" t="s">
        <v>468</v>
      </c>
      <c r="E120" s="201">
        <f>B110</f>
        <v>68</v>
      </c>
      <c r="F120" s="202" t="s">
        <v>469</v>
      </c>
      <c r="G120" s="203"/>
      <c r="H120" s="194"/>
    </row>
    <row r="121" spans="1:8">
      <c r="A121" s="7"/>
      <c r="B121" s="185" t="s">
        <v>470</v>
      </c>
      <c r="C121" s="186"/>
      <c r="D121" s="186"/>
      <c r="E121" s="186"/>
      <c r="F121" s="175"/>
      <c r="G121" s="175"/>
      <c r="H121" s="194"/>
    </row>
    <row r="122" spans="1:8">
      <c r="A122" s="204"/>
      <c r="B122" s="175"/>
      <c r="C122" s="199">
        <f>D114</f>
        <v>53</v>
      </c>
      <c r="D122" s="200" t="s">
        <v>468</v>
      </c>
      <c r="E122" s="201">
        <f>B114</f>
        <v>10</v>
      </c>
      <c r="F122" s="202" t="s">
        <v>469</v>
      </c>
      <c r="G122" s="203"/>
      <c r="H122" s="194"/>
    </row>
    <row r="123" spans="1:8">
      <c r="A123" s="7"/>
      <c r="B123" s="175"/>
      <c r="C123" s="185"/>
      <c r="D123" s="186"/>
      <c r="E123" s="186"/>
      <c r="F123" s="175"/>
      <c r="G123" s="175"/>
      <c r="H123" s="194"/>
    </row>
    <row r="124" spans="1:8">
      <c r="A124" s="7"/>
      <c r="B124" s="185" t="s">
        <v>471</v>
      </c>
      <c r="C124" s="185"/>
      <c r="D124" s="186"/>
      <c r="E124" s="186"/>
      <c r="F124" s="175"/>
      <c r="G124" s="175"/>
      <c r="H124" s="194"/>
    </row>
    <row r="125" spans="1:8">
      <c r="A125" s="7"/>
      <c r="B125" s="185" t="s">
        <v>472</v>
      </c>
      <c r="C125" s="185"/>
      <c r="D125" s="186"/>
      <c r="E125" s="186"/>
      <c r="F125" s="175"/>
      <c r="G125" s="175"/>
      <c r="H125" s="194"/>
    </row>
    <row r="126" spans="1:8">
      <c r="A126" s="7"/>
      <c r="B126" s="175"/>
      <c r="C126" s="205">
        <f>E107*G110/G116</f>
        <v>66.544813101263273</v>
      </c>
      <c r="D126" s="201" t="str">
        <f>REPT(F107,1)</f>
        <v>ml</v>
      </c>
      <c r="E126" s="201">
        <f>B110</f>
        <v>68</v>
      </c>
      <c r="F126" s="202" t="s">
        <v>469</v>
      </c>
      <c r="G126" s="203"/>
      <c r="H126" s="194"/>
    </row>
    <row r="127" spans="1:8">
      <c r="A127" s="7"/>
      <c r="B127" s="185" t="s">
        <v>470</v>
      </c>
      <c r="C127" s="186"/>
      <c r="D127" s="186"/>
      <c r="E127" s="186"/>
      <c r="F127" s="175"/>
      <c r="G127" s="175"/>
      <c r="H127" s="194"/>
    </row>
    <row r="128" spans="1:8">
      <c r="A128" s="7"/>
      <c r="B128" s="185"/>
      <c r="C128" s="205">
        <f>E107*G114/G116</f>
        <v>939.70832093201238</v>
      </c>
      <c r="D128" s="201" t="str">
        <f>REPT(F107,1)</f>
        <v>ml</v>
      </c>
      <c r="E128" s="201">
        <f>B114</f>
        <v>10</v>
      </c>
      <c r="F128" s="202" t="s">
        <v>469</v>
      </c>
      <c r="G128" s="203"/>
      <c r="H128" s="194"/>
    </row>
    <row r="129" spans="1:8">
      <c r="A129" s="7"/>
      <c r="B129" s="185" t="s">
        <v>473</v>
      </c>
      <c r="C129" s="198"/>
      <c r="D129" s="186"/>
      <c r="E129" s="186"/>
      <c r="F129" s="175"/>
      <c r="G129" s="175"/>
      <c r="H129" s="194"/>
    </row>
    <row r="130" spans="1:8">
      <c r="A130" s="7"/>
      <c r="B130" s="175"/>
      <c r="C130" s="205">
        <f>SUM(C126:C128)</f>
        <v>1006.2531340332756</v>
      </c>
      <c r="D130" s="201" t="str">
        <f>REPT(F107,1)</f>
        <v>ml</v>
      </c>
      <c r="E130" s="201">
        <f>E106</f>
        <v>15</v>
      </c>
      <c r="F130" s="202" t="s">
        <v>474</v>
      </c>
      <c r="G130" s="202"/>
      <c r="H130" s="203"/>
    </row>
    <row r="131" spans="1:8">
      <c r="A131" s="10"/>
      <c r="B131" s="206"/>
      <c r="C131" s="206"/>
      <c r="D131" s="206"/>
      <c r="E131" s="206"/>
      <c r="F131" s="206"/>
      <c r="G131" s="206"/>
      <c r="H131" s="207"/>
    </row>
    <row r="132" spans="1:8">
      <c r="A132" s="185"/>
      <c r="B132" s="175"/>
      <c r="C132" s="175"/>
      <c r="D132" s="175"/>
      <c r="E132" s="175"/>
      <c r="F132" s="175"/>
      <c r="G132" s="175"/>
      <c r="H132" s="175"/>
    </row>
  </sheetData>
  <dataValidations count="6">
    <dataValidation allowBlank="1" showInputMessage="1" showErrorMessage="1" promptTitle="Hinweis" prompt="Gib hier das benötigte Volumen der Mischung ein!" sqref="E107:F107"/>
    <dataValidation allowBlank="1" showInputMessage="1" showErrorMessage="1" promptTitle="Hinweis" prompt="Gib hier die Endkonzentration ein" sqref="E106"/>
    <dataValidation allowBlank="1" showInputMessage="1" showErrorMessage="1" promptTitle="Hinweis" prompt="Gib hier die geringere Konzentration ein" sqref="E104"/>
    <dataValidation allowBlank="1" showInputMessage="1" showErrorMessage="1" promptTitle="Hinweis" prompt="Gib hier die höhere Konzentration ein" sqref="E103"/>
    <dataValidation allowBlank="1" showInputMessage="1" showErrorMessage="1" promptTitle="Hinweis" prompt="Die Dichten müssen einem Tabellenwerk entnommen werden._x000a_vielfach werden sie jedoch vorgegeben! " sqref="H103:H104 H106"/>
    <dataValidation allowBlank="1" showInputMessage="1" showErrorMessage="1" promptTitle="Achtung" prompt="Bereich vieler Rechenfelder - nicht überschreiben" sqref="C128:G128 C126:G126 C120:G120 G116 B116:D116 B113:B114 C112 B110 D114 D110 C122:G122 G114 G110 C130:H130"/>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7">
    <pageSetUpPr fitToPage="1"/>
  </sheetPr>
  <dimension ref="B4:AA187"/>
  <sheetViews>
    <sheetView zoomScale="90" zoomScaleNormal="90" workbookViewId="0">
      <selection activeCell="Z111" sqref="Z111"/>
    </sheetView>
  </sheetViews>
  <sheetFormatPr baseColWidth="10" defaultColWidth="11.42578125" defaultRowHeight="12.75"/>
  <cols>
    <col min="1" max="2" width="11.42578125" style="1"/>
    <col min="3" max="3" width="2.85546875" style="1" customWidth="1"/>
    <col min="4" max="16" width="6.7109375" style="1" customWidth="1"/>
    <col min="17" max="17" width="4.42578125" style="165" customWidth="1"/>
    <col min="18" max="18" width="13.85546875" style="1" customWidth="1"/>
    <col min="19" max="19" width="5.7109375" style="1" customWidth="1"/>
    <col min="20" max="20" width="11.42578125" style="26"/>
    <col min="21" max="21" width="11.42578125" style="1"/>
    <col min="22" max="22" width="12.7109375" style="1" customWidth="1"/>
    <col min="23" max="23" width="14.140625" style="1" customWidth="1"/>
    <col min="24" max="24" width="14.42578125" style="1" customWidth="1"/>
    <col min="25" max="16384" width="11.42578125" style="1"/>
  </cols>
  <sheetData>
    <row r="4" spans="21:25">
      <c r="U4" s="165"/>
      <c r="X4" s="26"/>
    </row>
    <row r="5" spans="21:25">
      <c r="U5" s="165"/>
      <c r="V5" s="223" t="s">
        <v>518</v>
      </c>
      <c r="W5" s="5"/>
      <c r="X5" s="293">
        <v>48</v>
      </c>
      <c r="Y5" s="6" t="s">
        <v>519</v>
      </c>
    </row>
    <row r="6" spans="21:25">
      <c r="U6" s="165"/>
      <c r="V6" s="224" t="s">
        <v>520</v>
      </c>
      <c r="W6" s="11"/>
      <c r="X6" s="294">
        <v>240</v>
      </c>
      <c r="Y6" s="12" t="s">
        <v>519</v>
      </c>
    </row>
    <row r="7" spans="21:25">
      <c r="U7" s="165"/>
      <c r="V7" s="165"/>
      <c r="Y7" s="26"/>
    </row>
    <row r="8" spans="21:25">
      <c r="U8" s="165"/>
      <c r="V8" s="226" t="s">
        <v>521</v>
      </c>
      <c r="W8" s="226" t="s">
        <v>522</v>
      </c>
      <c r="X8" s="11"/>
      <c r="Y8" s="225" t="s">
        <v>523</v>
      </c>
    </row>
    <row r="9" spans="21:25">
      <c r="U9" s="165"/>
      <c r="V9" s="26">
        <v>1</v>
      </c>
      <c r="W9" s="26">
        <v>0</v>
      </c>
      <c r="Y9" s="26">
        <f t="shared" ref="Y9:Y16" si="0">V9*$X$5+W9*$X$6</f>
        <v>48</v>
      </c>
    </row>
    <row r="10" spans="21:25">
      <c r="U10" s="165"/>
      <c r="V10" s="26">
        <v>1</v>
      </c>
      <c r="W10" s="26">
        <v>1</v>
      </c>
      <c r="Y10" s="26">
        <f t="shared" si="0"/>
        <v>288</v>
      </c>
    </row>
    <row r="11" spans="21:25">
      <c r="U11" s="165"/>
      <c r="V11" s="26">
        <v>2</v>
      </c>
      <c r="W11" s="26">
        <v>1</v>
      </c>
      <c r="Y11" s="26">
        <f t="shared" si="0"/>
        <v>336</v>
      </c>
    </row>
    <row r="12" spans="21:25">
      <c r="U12" s="165"/>
      <c r="V12" s="26">
        <v>2</v>
      </c>
      <c r="W12" s="26">
        <v>2</v>
      </c>
      <c r="Y12" s="26">
        <f t="shared" si="0"/>
        <v>576</v>
      </c>
    </row>
    <row r="13" spans="21:25">
      <c r="U13" s="165"/>
      <c r="V13" s="26">
        <v>3</v>
      </c>
      <c r="W13" s="26">
        <v>2</v>
      </c>
      <c r="Y13" s="26">
        <f t="shared" si="0"/>
        <v>624</v>
      </c>
    </row>
    <row r="14" spans="21:25">
      <c r="U14" s="165"/>
      <c r="V14" s="26">
        <v>3</v>
      </c>
      <c r="W14" s="26">
        <v>3</v>
      </c>
      <c r="Y14" s="26">
        <f t="shared" si="0"/>
        <v>864</v>
      </c>
    </row>
    <row r="15" spans="21:25">
      <c r="U15" s="165"/>
      <c r="V15" s="26">
        <v>4</v>
      </c>
      <c r="W15" s="26">
        <v>3</v>
      </c>
      <c r="Y15" s="26">
        <f t="shared" si="0"/>
        <v>912</v>
      </c>
    </row>
    <row r="16" spans="21:25">
      <c r="V16" s="26">
        <v>4</v>
      </c>
      <c r="W16" s="26">
        <v>4</v>
      </c>
      <c r="Y16" s="26">
        <f t="shared" si="0"/>
        <v>1152</v>
      </c>
    </row>
    <row r="17" spans="2:25">
      <c r="U17" s="165"/>
      <c r="V17" s="26"/>
      <c r="X17" s="26"/>
    </row>
    <row r="18" spans="2:25">
      <c r="B18" s="227" t="s">
        <v>524</v>
      </c>
      <c r="U18" s="26"/>
      <c r="V18" s="4" t="s">
        <v>525</v>
      </c>
      <c r="W18" s="5"/>
      <c r="X18" s="295">
        <v>2000</v>
      </c>
      <c r="Y18" s="6" t="s">
        <v>519</v>
      </c>
    </row>
    <row r="19" spans="2:25">
      <c r="U19" s="165"/>
      <c r="V19" s="228" t="s">
        <v>518</v>
      </c>
      <c r="W19" s="8"/>
      <c r="X19" s="296">
        <v>48</v>
      </c>
      <c r="Y19" s="9" t="s">
        <v>519</v>
      </c>
    </row>
    <row r="20" spans="2:25">
      <c r="U20" s="165"/>
      <c r="V20" s="229" t="s">
        <v>526</v>
      </c>
      <c r="W20" s="11"/>
      <c r="X20" s="297">
        <v>320</v>
      </c>
      <c r="Y20" s="12" t="s">
        <v>519</v>
      </c>
    </row>
    <row r="21" spans="2:25">
      <c r="B21" s="1" t="s">
        <v>527</v>
      </c>
      <c r="E21" s="230" t="s">
        <v>528</v>
      </c>
      <c r="G21" s="8"/>
      <c r="H21" s="231">
        <v>2000</v>
      </c>
      <c r="U21" s="165"/>
      <c r="W21" s="165"/>
    </row>
    <row r="22" spans="2:25">
      <c r="E22" s="1" t="s">
        <v>529</v>
      </c>
      <c r="H22" s="232">
        <f>3/5</f>
        <v>0.6</v>
      </c>
      <c r="J22" s="233">
        <f>H22</f>
        <v>0.6</v>
      </c>
      <c r="U22" s="165"/>
      <c r="V22" s="11"/>
      <c r="W22" s="226" t="s">
        <v>521</v>
      </c>
      <c r="X22" s="226" t="s">
        <v>522</v>
      </c>
      <c r="Y22" s="225" t="s">
        <v>523</v>
      </c>
    </row>
    <row r="23" spans="2:25">
      <c r="E23" s="230" t="s">
        <v>530</v>
      </c>
      <c r="H23" s="165">
        <f>H21*H22</f>
        <v>1200</v>
      </c>
      <c r="U23" s="165"/>
      <c r="W23" s="26">
        <v>1</v>
      </c>
      <c r="X23" s="26">
        <v>0</v>
      </c>
      <c r="Y23" s="26">
        <f t="shared" ref="Y23:Y32" si="1">$X$18-W23*$X$19-X23*$X$20</f>
        <v>1952</v>
      </c>
    </row>
    <row r="24" spans="2:25">
      <c r="H24" s="165"/>
      <c r="U24" s="165"/>
      <c r="W24" s="26">
        <v>1</v>
      </c>
      <c r="X24" s="26">
        <v>1</v>
      </c>
      <c r="Y24" s="26">
        <f t="shared" si="1"/>
        <v>1632</v>
      </c>
    </row>
    <row r="25" spans="2:25">
      <c r="B25" s="1" t="s">
        <v>531</v>
      </c>
      <c r="E25" s="1" t="s">
        <v>532</v>
      </c>
      <c r="H25" s="232">
        <v>1125</v>
      </c>
      <c r="I25" s="8" t="s">
        <v>519</v>
      </c>
      <c r="U25" s="165"/>
      <c r="W25" s="26">
        <v>2</v>
      </c>
      <c r="X25" s="26">
        <v>1</v>
      </c>
      <c r="Y25" s="26">
        <f t="shared" si="1"/>
        <v>1584</v>
      </c>
    </row>
    <row r="26" spans="2:25">
      <c r="B26" s="1" t="s">
        <v>533</v>
      </c>
      <c r="E26" s="1" t="s">
        <v>534</v>
      </c>
      <c r="H26" s="232">
        <v>1500</v>
      </c>
      <c r="I26" s="8" t="s">
        <v>519</v>
      </c>
      <c r="U26" s="165"/>
      <c r="W26" s="26">
        <v>2</v>
      </c>
      <c r="X26" s="26">
        <v>2</v>
      </c>
      <c r="Y26" s="26">
        <f t="shared" si="1"/>
        <v>1264</v>
      </c>
    </row>
    <row r="27" spans="2:25">
      <c r="E27" s="1" t="s">
        <v>529</v>
      </c>
      <c r="H27" s="165">
        <f>H25/H26</f>
        <v>0.75</v>
      </c>
      <c r="U27" s="165"/>
      <c r="W27" s="26">
        <v>3</v>
      </c>
      <c r="X27" s="26">
        <v>2</v>
      </c>
      <c r="Y27" s="26">
        <f t="shared" si="1"/>
        <v>1216</v>
      </c>
    </row>
    <row r="28" spans="2:25">
      <c r="H28" s="165"/>
      <c r="U28" s="165"/>
      <c r="W28" s="26">
        <v>3</v>
      </c>
      <c r="X28" s="26">
        <v>3</v>
      </c>
      <c r="Y28" s="26">
        <f t="shared" si="1"/>
        <v>896</v>
      </c>
    </row>
    <row r="29" spans="2:25">
      <c r="E29" s="230" t="s">
        <v>520</v>
      </c>
      <c r="G29" s="8"/>
      <c r="H29" s="231">
        <v>240</v>
      </c>
      <c r="I29" s="8" t="s">
        <v>519</v>
      </c>
      <c r="U29" s="165"/>
      <c r="W29" s="26">
        <v>4</v>
      </c>
      <c r="X29" s="26">
        <v>3</v>
      </c>
      <c r="Y29" s="26">
        <f t="shared" si="1"/>
        <v>848</v>
      </c>
    </row>
    <row r="30" spans="2:25">
      <c r="B30" s="1" t="s">
        <v>535</v>
      </c>
      <c r="E30" s="230" t="s">
        <v>526</v>
      </c>
      <c r="G30" s="8"/>
      <c r="H30" s="234">
        <f>H29/H27</f>
        <v>320</v>
      </c>
      <c r="I30" s="8" t="s">
        <v>519</v>
      </c>
      <c r="U30" s="165"/>
      <c r="W30" s="26">
        <v>4</v>
      </c>
      <c r="X30" s="26">
        <v>4</v>
      </c>
      <c r="Y30" s="26">
        <f t="shared" si="1"/>
        <v>528</v>
      </c>
    </row>
    <row r="31" spans="2:25">
      <c r="U31" s="165"/>
      <c r="W31" s="26">
        <v>5</v>
      </c>
      <c r="X31" s="26">
        <v>4</v>
      </c>
      <c r="Y31" s="26">
        <f t="shared" si="1"/>
        <v>480</v>
      </c>
    </row>
    <row r="32" spans="2:25">
      <c r="E32" s="1" t="s">
        <v>536</v>
      </c>
      <c r="H32" s="235">
        <v>4</v>
      </c>
      <c r="U32" s="165"/>
      <c r="W32" s="26">
        <v>5</v>
      </c>
      <c r="X32" s="26">
        <v>5</v>
      </c>
      <c r="Y32" s="26">
        <f t="shared" si="1"/>
        <v>160</v>
      </c>
    </row>
    <row r="33" spans="2:25">
      <c r="E33" s="1" t="s">
        <v>537</v>
      </c>
      <c r="H33" s="1">
        <f>H32+1</f>
        <v>5</v>
      </c>
      <c r="V33" s="165"/>
      <c r="Y33" s="26"/>
    </row>
    <row r="34" spans="2:25">
      <c r="B34" s="1" t="s">
        <v>538</v>
      </c>
      <c r="E34" s="1" t="s">
        <v>539</v>
      </c>
      <c r="H34" s="1">
        <f>H32*H29</f>
        <v>960</v>
      </c>
      <c r="I34" s="1" t="s">
        <v>519</v>
      </c>
    </row>
    <row r="35" spans="2:25">
      <c r="B35" s="1" t="s">
        <v>540</v>
      </c>
      <c r="E35" s="1" t="s">
        <v>541</v>
      </c>
      <c r="H35" s="1">
        <f>H23-H34</f>
        <v>240</v>
      </c>
      <c r="I35" s="1" t="s">
        <v>519</v>
      </c>
    </row>
    <row r="36" spans="2:25">
      <c r="E36" s="230" t="s">
        <v>518</v>
      </c>
      <c r="G36" s="8"/>
      <c r="H36" s="234">
        <f>H35/H33</f>
        <v>48</v>
      </c>
      <c r="I36" s="8" t="s">
        <v>519</v>
      </c>
    </row>
    <row r="38" spans="2:25">
      <c r="E38" s="1" t="s">
        <v>542</v>
      </c>
      <c r="H38" s="235">
        <v>5</v>
      </c>
    </row>
    <row r="39" spans="2:25">
      <c r="E39" s="1" t="s">
        <v>543</v>
      </c>
      <c r="H39" s="235">
        <v>5</v>
      </c>
    </row>
    <row r="40" spans="2:25">
      <c r="B40" s="1" t="s">
        <v>538</v>
      </c>
      <c r="E40" s="1" t="s">
        <v>544</v>
      </c>
      <c r="H40" s="1">
        <f>H30*H38</f>
        <v>1600</v>
      </c>
      <c r="I40" s="8" t="s">
        <v>519</v>
      </c>
    </row>
    <row r="41" spans="2:25">
      <c r="B41" s="1" t="s">
        <v>545</v>
      </c>
      <c r="E41" s="1" t="s">
        <v>546</v>
      </c>
      <c r="H41" s="1">
        <f>H39*H36</f>
        <v>240</v>
      </c>
      <c r="I41" s="8" t="s">
        <v>519</v>
      </c>
      <c r="V41" s="26"/>
    </row>
    <row r="42" spans="2:25">
      <c r="E42" s="1" t="s">
        <v>547</v>
      </c>
      <c r="H42" s="1">
        <f>H21-H40-H41</f>
        <v>160</v>
      </c>
      <c r="I42" s="8" t="s">
        <v>519</v>
      </c>
      <c r="V42" s="26"/>
    </row>
    <row r="43" spans="2:25">
      <c r="V43" s="26"/>
    </row>
    <row r="45" spans="2:25">
      <c r="B45" s="1" t="s">
        <v>548</v>
      </c>
    </row>
    <row r="47" spans="2:25">
      <c r="B47" s="1" t="s">
        <v>549</v>
      </c>
      <c r="D47" s="236">
        <f>$H$36</f>
        <v>48</v>
      </c>
      <c r="E47" s="236"/>
      <c r="F47" s="236"/>
      <c r="G47" s="236"/>
      <c r="H47" s="236"/>
      <c r="I47" s="236"/>
      <c r="J47" s="236"/>
      <c r="K47" s="237"/>
      <c r="L47" s="237"/>
      <c r="M47" s="237"/>
      <c r="N47" s="237"/>
      <c r="O47" s="236"/>
      <c r="P47" s="236">
        <f t="shared" ref="P47:P53" si="2">SUM(D47:K47)</f>
        <v>48</v>
      </c>
    </row>
    <row r="48" spans="2:25">
      <c r="B48" s="1" t="s">
        <v>550</v>
      </c>
      <c r="D48" s="236">
        <f t="shared" ref="D48:D54" si="3">$H$36</f>
        <v>48</v>
      </c>
      <c r="E48" s="236">
        <f>$H$29</f>
        <v>240</v>
      </c>
      <c r="F48" s="236"/>
      <c r="G48" s="236"/>
      <c r="H48" s="236"/>
      <c r="I48" s="236"/>
      <c r="J48" s="236"/>
      <c r="K48" s="237"/>
      <c r="L48" s="237"/>
      <c r="M48" s="237"/>
      <c r="N48" s="237"/>
      <c r="O48" s="236"/>
      <c r="P48" s="236">
        <f t="shared" si="2"/>
        <v>288</v>
      </c>
    </row>
    <row r="49" spans="2:27">
      <c r="B49" s="1" t="s">
        <v>551</v>
      </c>
      <c r="D49" s="236">
        <f t="shared" si="3"/>
        <v>48</v>
      </c>
      <c r="E49" s="236">
        <f t="shared" ref="E49:E54" si="4">$H$29</f>
        <v>240</v>
      </c>
      <c r="F49" s="236">
        <f t="shared" ref="F49:F54" si="5">$H$36</f>
        <v>48</v>
      </c>
      <c r="G49" s="236"/>
      <c r="H49" s="236"/>
      <c r="I49" s="236"/>
      <c r="J49" s="236"/>
      <c r="K49" s="237"/>
      <c r="L49" s="237"/>
      <c r="M49" s="237"/>
      <c r="N49" s="237"/>
      <c r="O49" s="236"/>
      <c r="P49" s="236">
        <f t="shared" si="2"/>
        <v>336</v>
      </c>
    </row>
    <row r="50" spans="2:27">
      <c r="B50" s="1" t="s">
        <v>552</v>
      </c>
      <c r="D50" s="236">
        <f t="shared" si="3"/>
        <v>48</v>
      </c>
      <c r="E50" s="236">
        <f t="shared" si="4"/>
        <v>240</v>
      </c>
      <c r="F50" s="236">
        <f t="shared" si="5"/>
        <v>48</v>
      </c>
      <c r="G50" s="236">
        <f>$H$29</f>
        <v>240</v>
      </c>
      <c r="H50" s="236"/>
      <c r="I50" s="236"/>
      <c r="J50" s="236"/>
      <c r="K50" s="237"/>
      <c r="L50" s="237"/>
      <c r="M50" s="237"/>
      <c r="N50" s="237"/>
      <c r="O50" s="236"/>
      <c r="P50" s="236">
        <f t="shared" si="2"/>
        <v>576</v>
      </c>
    </row>
    <row r="51" spans="2:27">
      <c r="B51" s="1" t="s">
        <v>553</v>
      </c>
      <c r="D51" s="236">
        <f t="shared" si="3"/>
        <v>48</v>
      </c>
      <c r="E51" s="236">
        <f t="shared" si="4"/>
        <v>240</v>
      </c>
      <c r="F51" s="236">
        <f t="shared" si="5"/>
        <v>48</v>
      </c>
      <c r="G51" s="236">
        <f>$H$29</f>
        <v>240</v>
      </c>
      <c r="H51" s="236">
        <f>$H$36</f>
        <v>48</v>
      </c>
      <c r="I51" s="236"/>
      <c r="J51" s="236"/>
      <c r="K51" s="237"/>
      <c r="L51" s="237"/>
      <c r="M51" s="237"/>
      <c r="N51" s="237"/>
      <c r="O51" s="236"/>
      <c r="P51" s="236">
        <f t="shared" si="2"/>
        <v>624</v>
      </c>
    </row>
    <row r="52" spans="2:27">
      <c r="B52" s="1" t="s">
        <v>554</v>
      </c>
      <c r="D52" s="236">
        <f t="shared" si="3"/>
        <v>48</v>
      </c>
      <c r="E52" s="236">
        <f t="shared" si="4"/>
        <v>240</v>
      </c>
      <c r="F52" s="236">
        <f t="shared" si="5"/>
        <v>48</v>
      </c>
      <c r="G52" s="236">
        <f>$H$29</f>
        <v>240</v>
      </c>
      <c r="H52" s="236">
        <f>$H$36</f>
        <v>48</v>
      </c>
      <c r="I52" s="236">
        <f>$H$29</f>
        <v>240</v>
      </c>
      <c r="J52" s="236"/>
      <c r="K52" s="237"/>
      <c r="L52" s="237"/>
      <c r="M52" s="237"/>
      <c r="N52" s="237"/>
      <c r="O52" s="236"/>
      <c r="P52" s="236">
        <f t="shared" si="2"/>
        <v>864</v>
      </c>
    </row>
    <row r="53" spans="2:27">
      <c r="B53" s="1" t="s">
        <v>555</v>
      </c>
      <c r="D53" s="236">
        <f t="shared" si="3"/>
        <v>48</v>
      </c>
      <c r="E53" s="236">
        <f t="shared" si="4"/>
        <v>240</v>
      </c>
      <c r="F53" s="236">
        <f t="shared" si="5"/>
        <v>48</v>
      </c>
      <c r="G53" s="236">
        <f>$H$29</f>
        <v>240</v>
      </c>
      <c r="H53" s="236">
        <f>$H$36</f>
        <v>48</v>
      </c>
      <c r="I53" s="236">
        <f>$H$29</f>
        <v>240</v>
      </c>
      <c r="J53" s="236">
        <f>$H$36</f>
        <v>48</v>
      </c>
      <c r="K53" s="237"/>
      <c r="L53" s="237"/>
      <c r="M53" s="237"/>
      <c r="N53" s="237"/>
      <c r="O53" s="236"/>
      <c r="P53" s="236">
        <f t="shared" si="2"/>
        <v>912</v>
      </c>
    </row>
    <row r="54" spans="2:27">
      <c r="B54" s="1" t="s">
        <v>556</v>
      </c>
      <c r="D54" s="236">
        <f t="shared" si="3"/>
        <v>48</v>
      </c>
      <c r="E54" s="236">
        <f t="shared" si="4"/>
        <v>240</v>
      </c>
      <c r="F54" s="236">
        <f t="shared" si="5"/>
        <v>48</v>
      </c>
      <c r="G54" s="236">
        <f>$H$29</f>
        <v>240</v>
      </c>
      <c r="H54" s="236">
        <f>$H$36</f>
        <v>48</v>
      </c>
      <c r="I54" s="236">
        <f>$H$29</f>
        <v>240</v>
      </c>
      <c r="J54" s="236">
        <f>$H$36</f>
        <v>48</v>
      </c>
      <c r="K54" s="236">
        <f>$H$29</f>
        <v>240</v>
      </c>
      <c r="L54" s="237"/>
      <c r="M54" s="237"/>
      <c r="N54" s="237"/>
      <c r="O54" s="236"/>
      <c r="P54" s="236">
        <f>SUM(D54:K54)</f>
        <v>1152</v>
      </c>
    </row>
    <row r="55" spans="2:27">
      <c r="W55" s="26"/>
      <c r="X55" s="26"/>
      <c r="Y55" s="26"/>
      <c r="Z55" s="26"/>
      <c r="AA55" s="26"/>
    </row>
    <row r="56" spans="2:27">
      <c r="B56" s="1" t="s">
        <v>557</v>
      </c>
    </row>
    <row r="58" spans="2:27">
      <c r="B58" s="1" t="s">
        <v>558</v>
      </c>
      <c r="D58" s="236">
        <f t="shared" ref="D58:D67" si="6">$H$21</f>
        <v>2000</v>
      </c>
      <c r="E58" s="236">
        <f t="shared" ref="E58:E67" si="7">$H$36</f>
        <v>48</v>
      </c>
      <c r="F58" s="236"/>
      <c r="G58" s="236"/>
      <c r="H58" s="236"/>
      <c r="I58" s="236"/>
      <c r="J58" s="236"/>
      <c r="K58" s="236"/>
      <c r="L58" s="236"/>
      <c r="M58" s="236"/>
      <c r="N58" s="236"/>
      <c r="O58" s="236"/>
      <c r="P58" s="236">
        <f t="shared" ref="P58:P66" si="8">D58-SUM(E58:N58)</f>
        <v>1952</v>
      </c>
    </row>
    <row r="59" spans="2:27">
      <c r="B59" s="1" t="s">
        <v>559</v>
      </c>
      <c r="D59" s="236">
        <f t="shared" si="6"/>
        <v>2000</v>
      </c>
      <c r="E59" s="236">
        <f t="shared" si="7"/>
        <v>48</v>
      </c>
      <c r="F59" s="236">
        <f>$H$30</f>
        <v>320</v>
      </c>
      <c r="G59" s="236"/>
      <c r="H59" s="236"/>
      <c r="I59" s="236"/>
      <c r="J59" s="236"/>
      <c r="K59" s="236"/>
      <c r="L59" s="236"/>
      <c r="M59" s="236"/>
      <c r="N59" s="236"/>
      <c r="O59" s="236"/>
      <c r="P59" s="236">
        <f t="shared" si="8"/>
        <v>1632</v>
      </c>
    </row>
    <row r="60" spans="2:27">
      <c r="B60" s="1" t="s">
        <v>551</v>
      </c>
      <c r="D60" s="236">
        <f t="shared" si="6"/>
        <v>2000</v>
      </c>
      <c r="E60" s="236">
        <f t="shared" si="7"/>
        <v>48</v>
      </c>
      <c r="F60" s="236">
        <f t="shared" ref="F60:F67" si="9">$H$30</f>
        <v>320</v>
      </c>
      <c r="G60" s="236">
        <f t="shared" ref="G60:G67" si="10">$H$36</f>
        <v>48</v>
      </c>
      <c r="H60" s="236"/>
      <c r="I60" s="236"/>
      <c r="J60" s="236"/>
      <c r="K60" s="236"/>
      <c r="L60" s="236"/>
      <c r="M60" s="236"/>
      <c r="N60" s="236"/>
      <c r="O60" s="236"/>
      <c r="P60" s="236">
        <f t="shared" si="8"/>
        <v>1584</v>
      </c>
    </row>
    <row r="61" spans="2:27">
      <c r="B61" s="1" t="s">
        <v>560</v>
      </c>
      <c r="D61" s="236">
        <f t="shared" si="6"/>
        <v>2000</v>
      </c>
      <c r="E61" s="236">
        <f t="shared" si="7"/>
        <v>48</v>
      </c>
      <c r="F61" s="236">
        <f t="shared" si="9"/>
        <v>320</v>
      </c>
      <c r="G61" s="236">
        <f t="shared" si="10"/>
        <v>48</v>
      </c>
      <c r="H61" s="236">
        <f>$H$30</f>
        <v>320</v>
      </c>
      <c r="I61" s="236"/>
      <c r="J61" s="236"/>
      <c r="K61" s="236"/>
      <c r="L61" s="236"/>
      <c r="M61" s="236"/>
      <c r="N61" s="236"/>
      <c r="O61" s="236"/>
      <c r="P61" s="236">
        <f t="shared" si="8"/>
        <v>1264</v>
      </c>
    </row>
    <row r="62" spans="2:27">
      <c r="B62" s="1" t="s">
        <v>553</v>
      </c>
      <c r="D62" s="236">
        <f t="shared" si="6"/>
        <v>2000</v>
      </c>
      <c r="E62" s="236">
        <f t="shared" si="7"/>
        <v>48</v>
      </c>
      <c r="F62" s="236">
        <f t="shared" si="9"/>
        <v>320</v>
      </c>
      <c r="G62" s="236">
        <f t="shared" si="10"/>
        <v>48</v>
      </c>
      <c r="H62" s="236">
        <f t="shared" ref="H62:H67" si="11">$H$30</f>
        <v>320</v>
      </c>
      <c r="I62" s="236">
        <f t="shared" ref="I62:I67" si="12">$H$36</f>
        <v>48</v>
      </c>
      <c r="J62" s="236"/>
      <c r="K62" s="236"/>
      <c r="L62" s="236"/>
      <c r="M62" s="236"/>
      <c r="N62" s="236"/>
      <c r="O62" s="236"/>
      <c r="P62" s="236">
        <f t="shared" si="8"/>
        <v>1216</v>
      </c>
    </row>
    <row r="63" spans="2:27">
      <c r="B63" s="1" t="s">
        <v>561</v>
      </c>
      <c r="D63" s="236">
        <f t="shared" si="6"/>
        <v>2000</v>
      </c>
      <c r="E63" s="236">
        <f t="shared" si="7"/>
        <v>48</v>
      </c>
      <c r="F63" s="236">
        <f t="shared" si="9"/>
        <v>320</v>
      </c>
      <c r="G63" s="236">
        <f t="shared" si="10"/>
        <v>48</v>
      </c>
      <c r="H63" s="236">
        <f t="shared" si="11"/>
        <v>320</v>
      </c>
      <c r="I63" s="236">
        <f t="shared" si="12"/>
        <v>48</v>
      </c>
      <c r="J63" s="236">
        <f>$H$30</f>
        <v>320</v>
      </c>
      <c r="K63" s="236"/>
      <c r="L63" s="236"/>
      <c r="M63" s="236"/>
      <c r="N63" s="236"/>
      <c r="O63" s="236"/>
      <c r="P63" s="236">
        <f t="shared" si="8"/>
        <v>896</v>
      </c>
    </row>
    <row r="64" spans="2:27">
      <c r="B64" s="1" t="s">
        <v>555</v>
      </c>
      <c r="D64" s="236">
        <f t="shared" si="6"/>
        <v>2000</v>
      </c>
      <c r="E64" s="236">
        <f t="shared" si="7"/>
        <v>48</v>
      </c>
      <c r="F64" s="236">
        <f t="shared" si="9"/>
        <v>320</v>
      </c>
      <c r="G64" s="236">
        <f t="shared" si="10"/>
        <v>48</v>
      </c>
      <c r="H64" s="236">
        <f t="shared" si="11"/>
        <v>320</v>
      </c>
      <c r="I64" s="236">
        <f t="shared" si="12"/>
        <v>48</v>
      </c>
      <c r="J64" s="236">
        <f>$H$30</f>
        <v>320</v>
      </c>
      <c r="K64" s="236">
        <f>$H$36</f>
        <v>48</v>
      </c>
      <c r="L64" s="236"/>
      <c r="M64" s="236"/>
      <c r="N64" s="236"/>
      <c r="O64" s="236"/>
      <c r="P64" s="236">
        <f t="shared" si="8"/>
        <v>848</v>
      </c>
    </row>
    <row r="65" spans="2:20">
      <c r="B65" s="1" t="s">
        <v>562</v>
      </c>
      <c r="D65" s="236">
        <f t="shared" si="6"/>
        <v>2000</v>
      </c>
      <c r="E65" s="236">
        <f t="shared" si="7"/>
        <v>48</v>
      </c>
      <c r="F65" s="236">
        <f t="shared" si="9"/>
        <v>320</v>
      </c>
      <c r="G65" s="236">
        <f t="shared" si="10"/>
        <v>48</v>
      </c>
      <c r="H65" s="236">
        <f t="shared" si="11"/>
        <v>320</v>
      </c>
      <c r="I65" s="236">
        <f t="shared" si="12"/>
        <v>48</v>
      </c>
      <c r="J65" s="236">
        <f>$H$30</f>
        <v>320</v>
      </c>
      <c r="K65" s="236">
        <f>$H$36</f>
        <v>48</v>
      </c>
      <c r="L65" s="236">
        <f>$H$30</f>
        <v>320</v>
      </c>
      <c r="M65" s="236"/>
      <c r="N65" s="236"/>
      <c r="O65" s="236"/>
      <c r="P65" s="236">
        <f t="shared" si="8"/>
        <v>528</v>
      </c>
    </row>
    <row r="66" spans="2:20">
      <c r="B66" s="1" t="s">
        <v>563</v>
      </c>
      <c r="D66" s="236">
        <f t="shared" si="6"/>
        <v>2000</v>
      </c>
      <c r="E66" s="236">
        <f t="shared" si="7"/>
        <v>48</v>
      </c>
      <c r="F66" s="236">
        <f t="shared" si="9"/>
        <v>320</v>
      </c>
      <c r="G66" s="236">
        <f t="shared" si="10"/>
        <v>48</v>
      </c>
      <c r="H66" s="236">
        <f t="shared" si="11"/>
        <v>320</v>
      </c>
      <c r="I66" s="236">
        <f t="shared" si="12"/>
        <v>48</v>
      </c>
      <c r="J66" s="236">
        <f>$H$30</f>
        <v>320</v>
      </c>
      <c r="K66" s="236">
        <f>$H$36</f>
        <v>48</v>
      </c>
      <c r="L66" s="236">
        <f>$H$30</f>
        <v>320</v>
      </c>
      <c r="M66" s="236">
        <f>$H$36</f>
        <v>48</v>
      </c>
      <c r="N66" s="236"/>
      <c r="O66" s="236"/>
      <c r="P66" s="236">
        <f t="shared" si="8"/>
        <v>480</v>
      </c>
    </row>
    <row r="67" spans="2:20">
      <c r="B67" s="1" t="s">
        <v>564</v>
      </c>
      <c r="D67" s="236">
        <f t="shared" si="6"/>
        <v>2000</v>
      </c>
      <c r="E67" s="236">
        <f t="shared" si="7"/>
        <v>48</v>
      </c>
      <c r="F67" s="236">
        <f t="shared" si="9"/>
        <v>320</v>
      </c>
      <c r="G67" s="236">
        <f t="shared" si="10"/>
        <v>48</v>
      </c>
      <c r="H67" s="236">
        <f t="shared" si="11"/>
        <v>320</v>
      </c>
      <c r="I67" s="236">
        <f t="shared" si="12"/>
        <v>48</v>
      </c>
      <c r="J67" s="236">
        <f>$H$30</f>
        <v>320</v>
      </c>
      <c r="K67" s="236">
        <f>$H$36</f>
        <v>48</v>
      </c>
      <c r="L67" s="236">
        <f>$H$30</f>
        <v>320</v>
      </c>
      <c r="M67" s="236">
        <f>$H$36</f>
        <v>48</v>
      </c>
      <c r="N67" s="236">
        <f>$H$30</f>
        <v>320</v>
      </c>
      <c r="O67" s="236"/>
      <c r="P67" s="236">
        <f>D67-SUM(E67:N67)</f>
        <v>160</v>
      </c>
    </row>
    <row r="78" spans="2:20">
      <c r="E78" s="165"/>
      <c r="Q78" s="1"/>
      <c r="T78" s="165"/>
    </row>
    <row r="79" spans="2:20">
      <c r="E79" s="165"/>
      <c r="Q79" s="1"/>
      <c r="T79" s="165"/>
    </row>
    <row r="80" spans="2:20">
      <c r="E80" s="165"/>
      <c r="Q80" s="1"/>
      <c r="T80" s="165"/>
    </row>
    <row r="81" spans="3:20">
      <c r="E81" s="165"/>
      <c r="Q81" s="1"/>
      <c r="T81" s="165"/>
    </row>
    <row r="82" spans="3:20">
      <c r="E82" s="165"/>
      <c r="Q82" s="1"/>
      <c r="T82" s="165"/>
    </row>
    <row r="83" spans="3:20">
      <c r="E83" s="165"/>
      <c r="Q83" s="1"/>
      <c r="T83" s="165"/>
    </row>
    <row r="84" spans="3:20">
      <c r="E84" s="165"/>
      <c r="Q84" s="1"/>
      <c r="T84" s="165"/>
    </row>
    <row r="85" spans="3:20">
      <c r="E85" s="165"/>
      <c r="Q85" s="1"/>
      <c r="T85" s="165"/>
    </row>
    <row r="86" spans="3:20">
      <c r="E86" s="165"/>
      <c r="Q86" s="1"/>
      <c r="T86" s="165"/>
    </row>
    <row r="87" spans="3:20">
      <c r="E87" s="165"/>
      <c r="Q87" s="1"/>
      <c r="T87" s="165"/>
    </row>
    <row r="88" spans="3:20">
      <c r="E88" s="165"/>
      <c r="Q88" s="1"/>
      <c r="T88" s="165"/>
    </row>
    <row r="89" spans="3:20">
      <c r="E89" s="165"/>
      <c r="Q89" s="1"/>
      <c r="T89" s="165"/>
    </row>
    <row r="90" spans="3:20">
      <c r="E90" s="165"/>
      <c r="Q90" s="1"/>
      <c r="T90" s="165"/>
    </row>
    <row r="91" spans="3:20">
      <c r="E91" s="165"/>
      <c r="Q91" s="1"/>
      <c r="T91" s="165"/>
    </row>
    <row r="92" spans="3:20">
      <c r="E92" s="165"/>
      <c r="Q92" s="1"/>
      <c r="T92" s="165"/>
    </row>
    <row r="93" spans="3:20">
      <c r="E93" s="165"/>
      <c r="Q93" s="1"/>
      <c r="T93" s="165"/>
    </row>
    <row r="94" spans="3:20">
      <c r="C94" s="1592" t="s">
        <v>524</v>
      </c>
      <c r="D94" s="465"/>
      <c r="E94" s="465"/>
      <c r="Q94" s="1"/>
      <c r="T94" s="165"/>
    </row>
    <row r="95" spans="3:20">
      <c r="E95" s="165"/>
      <c r="Q95" s="1"/>
      <c r="T95" s="165"/>
    </row>
    <row r="96" spans="3:20">
      <c r="E96" s="165"/>
      <c r="Q96" s="1"/>
      <c r="T96" s="165"/>
    </row>
    <row r="97" spans="2:20">
      <c r="E97" s="165" t="s">
        <v>527</v>
      </c>
      <c r="J97" s="234" t="s">
        <v>528</v>
      </c>
      <c r="K97" s="1593">
        <v>1240</v>
      </c>
      <c r="Q97" s="1"/>
      <c r="T97" s="165"/>
    </row>
    <row r="98" spans="2:20">
      <c r="E98" s="165"/>
      <c r="J98" s="165" t="s">
        <v>529</v>
      </c>
      <c r="K98" s="1594">
        <f>SQRT(2)</f>
        <v>1.4142135623730951</v>
      </c>
      <c r="M98" s="292">
        <f>1/K98</f>
        <v>0.70710678118654746</v>
      </c>
      <c r="Q98" s="1"/>
      <c r="T98" s="165"/>
    </row>
    <row r="99" spans="2:20">
      <c r="E99" s="165"/>
      <c r="J99" s="234" t="s">
        <v>530</v>
      </c>
      <c r="K99" s="165">
        <f>ROUND(K97*K98,0)</f>
        <v>1754</v>
      </c>
      <c r="P99" s="284"/>
      <c r="Q99" s="1"/>
      <c r="T99" s="165"/>
    </row>
    <row r="100" spans="2:20">
      <c r="E100" s="165"/>
      <c r="J100" s="165"/>
      <c r="K100" s="165"/>
      <c r="Q100" s="1"/>
      <c r="T100" s="165"/>
    </row>
    <row r="101" spans="2:20">
      <c r="E101" s="165" t="s">
        <v>531</v>
      </c>
      <c r="J101" s="165" t="s">
        <v>532</v>
      </c>
      <c r="K101" s="1594">
        <v>709</v>
      </c>
      <c r="L101" s="8" t="s">
        <v>519</v>
      </c>
      <c r="Q101" s="1"/>
      <c r="T101" s="165"/>
    </row>
    <row r="102" spans="2:20">
      <c r="E102" s="165" t="s">
        <v>533</v>
      </c>
      <c r="J102" s="165" t="s">
        <v>534</v>
      </c>
      <c r="K102" s="1594">
        <v>709</v>
      </c>
      <c r="L102" s="8" t="s">
        <v>519</v>
      </c>
      <c r="Q102" s="1"/>
      <c r="T102" s="165"/>
    </row>
    <row r="103" spans="2:20">
      <c r="E103" s="165"/>
      <c r="J103" s="165" t="s">
        <v>529</v>
      </c>
      <c r="K103" s="165">
        <f>K101/K102</f>
        <v>1</v>
      </c>
      <c r="Q103" s="1"/>
      <c r="T103" s="165"/>
    </row>
    <row r="104" spans="2:20">
      <c r="E104" s="165"/>
      <c r="J104" s="165"/>
      <c r="K104" s="165"/>
      <c r="Q104" s="1"/>
      <c r="T104" s="165"/>
    </row>
    <row r="105" spans="2:20">
      <c r="E105" s="165"/>
      <c r="J105" s="234" t="s">
        <v>520</v>
      </c>
      <c r="K105" s="1593">
        <v>250</v>
      </c>
      <c r="L105" s="8" t="s">
        <v>519</v>
      </c>
      <c r="Q105" s="1"/>
      <c r="T105" s="165"/>
    </row>
    <row r="106" spans="2:20">
      <c r="E106" s="165" t="s">
        <v>535</v>
      </c>
      <c r="J106" s="234" t="s">
        <v>526</v>
      </c>
      <c r="K106" s="234">
        <f>K105/K103</f>
        <v>250</v>
      </c>
      <c r="L106" s="8" t="s">
        <v>519</v>
      </c>
      <c r="Q106" s="1"/>
      <c r="T106" s="165"/>
    </row>
    <row r="107" spans="2:20">
      <c r="E107" s="165"/>
      <c r="J107" s="165"/>
      <c r="Q107" s="1"/>
      <c r="T107" s="165"/>
    </row>
    <row r="108" spans="2:20">
      <c r="D108" s="4"/>
      <c r="E108" s="285"/>
      <c r="F108" s="5"/>
      <c r="G108" s="5"/>
      <c r="H108" s="5"/>
      <c r="I108" s="5"/>
      <c r="J108" s="285" t="s">
        <v>536</v>
      </c>
      <c r="K108" s="1595">
        <v>4</v>
      </c>
      <c r="L108" s="6"/>
      <c r="Q108" s="1"/>
      <c r="T108" s="165"/>
    </row>
    <row r="109" spans="2:20">
      <c r="D109" s="7"/>
      <c r="E109" s="234"/>
      <c r="F109" s="8"/>
      <c r="G109" s="8"/>
      <c r="H109" s="8"/>
      <c r="I109" s="8"/>
      <c r="J109" s="270" t="s">
        <v>650</v>
      </c>
      <c r="K109" s="1596">
        <v>4</v>
      </c>
      <c r="L109" s="9"/>
      <c r="Q109" s="1"/>
      <c r="T109" s="165"/>
    </row>
    <row r="110" spans="2:20">
      <c r="D110" s="7"/>
      <c r="E110" s="234"/>
      <c r="F110" s="8"/>
      <c r="G110" s="8"/>
      <c r="H110" s="8"/>
      <c r="I110" s="8"/>
      <c r="J110" s="234" t="s">
        <v>651</v>
      </c>
      <c r="K110" s="1596">
        <v>40</v>
      </c>
      <c r="L110" s="9" t="s">
        <v>519</v>
      </c>
      <c r="Q110" s="1"/>
      <c r="T110" s="165"/>
    </row>
    <row r="111" spans="2:20">
      <c r="D111" s="7"/>
      <c r="E111" s="234"/>
      <c r="F111" s="8"/>
      <c r="G111" s="8"/>
      <c r="H111" s="8"/>
      <c r="I111" s="8"/>
      <c r="J111" s="234"/>
      <c r="K111" s="8"/>
      <c r="L111" s="9"/>
      <c r="Q111" s="1"/>
      <c r="T111" s="165"/>
    </row>
    <row r="112" spans="2:20">
      <c r="B112" s="230" t="s">
        <v>538</v>
      </c>
      <c r="D112" s="7"/>
      <c r="F112" s="8"/>
      <c r="G112" s="8"/>
      <c r="H112" s="8"/>
      <c r="I112" s="8"/>
      <c r="J112" s="234" t="s">
        <v>539</v>
      </c>
      <c r="K112" s="8">
        <f>K108*K105</f>
        <v>1000</v>
      </c>
      <c r="L112" s="9" t="s">
        <v>519</v>
      </c>
      <c r="Q112" s="1"/>
      <c r="T112" s="165"/>
    </row>
    <row r="113" spans="2:20">
      <c r="B113" s="230" t="s">
        <v>652</v>
      </c>
      <c r="D113" s="7"/>
      <c r="F113" s="8"/>
      <c r="G113" s="8"/>
      <c r="H113" s="8"/>
      <c r="I113" s="8"/>
      <c r="J113" s="234" t="s">
        <v>653</v>
      </c>
      <c r="K113" s="8">
        <f>K109*K110</f>
        <v>160</v>
      </c>
      <c r="L113" s="9" t="s">
        <v>519</v>
      </c>
      <c r="Q113" s="1"/>
      <c r="T113" s="165"/>
    </row>
    <row r="114" spans="2:20">
      <c r="B114" s="230"/>
      <c r="D114" s="7"/>
      <c r="F114" s="8"/>
      <c r="G114" s="8"/>
      <c r="H114" s="8"/>
      <c r="I114" s="8"/>
      <c r="J114" s="234"/>
      <c r="K114" s="8"/>
      <c r="L114" s="9"/>
      <c r="Q114" s="1"/>
      <c r="T114" s="165"/>
    </row>
    <row r="115" spans="2:20">
      <c r="B115" s="212" t="s">
        <v>654</v>
      </c>
      <c r="D115" s="7"/>
      <c r="F115" s="8"/>
      <c r="G115" s="8"/>
      <c r="H115" s="8"/>
      <c r="I115" s="8"/>
      <c r="J115" s="270" t="s">
        <v>655</v>
      </c>
      <c r="K115" s="8">
        <f>K99-K112-K113</f>
        <v>594</v>
      </c>
      <c r="L115" s="9" t="s">
        <v>519</v>
      </c>
      <c r="O115" s="286"/>
      <c r="Q115" s="1"/>
      <c r="T115" s="165"/>
    </row>
    <row r="116" spans="2:20">
      <c r="D116" s="7"/>
      <c r="E116" s="234"/>
      <c r="F116" s="8"/>
      <c r="G116" s="8"/>
      <c r="H116" s="8"/>
      <c r="I116" s="8"/>
      <c r="J116" s="270"/>
      <c r="K116" s="234"/>
      <c r="L116" s="9"/>
      <c r="Q116" s="1"/>
      <c r="T116" s="165"/>
    </row>
    <row r="117" spans="2:20">
      <c r="D117" s="10"/>
      <c r="E117" s="226"/>
      <c r="F117" s="11"/>
      <c r="G117" s="11"/>
      <c r="H117" s="11"/>
      <c r="I117" s="11"/>
      <c r="J117" s="226"/>
      <c r="K117" s="226"/>
      <c r="L117" s="12"/>
      <c r="Q117" s="1"/>
      <c r="T117" s="165"/>
    </row>
    <row r="118" spans="2:20">
      <c r="E118" s="165"/>
      <c r="J118" s="165"/>
      <c r="Q118" s="1"/>
      <c r="T118" s="165"/>
    </row>
    <row r="119" spans="2:20">
      <c r="D119" s="4"/>
      <c r="E119" s="285"/>
      <c r="F119" s="5"/>
      <c r="G119" s="5"/>
      <c r="H119" s="5"/>
      <c r="I119" s="5"/>
      <c r="J119" s="285" t="s">
        <v>542</v>
      </c>
      <c r="K119" s="1595">
        <v>3</v>
      </c>
      <c r="L119" s="6"/>
      <c r="Q119" s="1"/>
      <c r="T119" s="165"/>
    </row>
    <row r="120" spans="2:20">
      <c r="D120" s="7"/>
      <c r="E120" s="234"/>
      <c r="F120" s="8"/>
      <c r="G120" s="8"/>
      <c r="H120" s="8"/>
      <c r="I120" s="8"/>
      <c r="J120" s="270" t="s">
        <v>656</v>
      </c>
      <c r="K120" s="1596">
        <v>3</v>
      </c>
      <c r="L120" s="9"/>
      <c r="Q120" s="1"/>
      <c r="T120" s="165"/>
    </row>
    <row r="121" spans="2:20">
      <c r="D121" s="7"/>
      <c r="E121" s="234"/>
      <c r="F121" s="8"/>
      <c r="G121" s="8"/>
      <c r="H121" s="8"/>
      <c r="I121" s="8"/>
      <c r="J121" s="234" t="s">
        <v>657</v>
      </c>
      <c r="K121" s="1596">
        <v>40</v>
      </c>
      <c r="L121" s="9" t="s">
        <v>519</v>
      </c>
      <c r="Q121" s="1"/>
      <c r="T121" s="165"/>
    </row>
    <row r="122" spans="2:20">
      <c r="D122" s="7"/>
      <c r="E122" s="234"/>
      <c r="F122" s="8"/>
      <c r="G122" s="8"/>
      <c r="H122" s="8"/>
      <c r="I122" s="8"/>
      <c r="J122" s="8"/>
      <c r="K122" s="8"/>
      <c r="L122" s="9"/>
      <c r="Q122" s="1"/>
      <c r="T122" s="165"/>
    </row>
    <row r="123" spans="2:20">
      <c r="B123" s="230" t="s">
        <v>538</v>
      </c>
      <c r="D123" s="7"/>
      <c r="F123" s="8"/>
      <c r="G123" s="8"/>
      <c r="H123" s="8"/>
      <c r="I123" s="8"/>
      <c r="J123" s="234" t="s">
        <v>544</v>
      </c>
      <c r="K123" s="8">
        <f>K106*K119</f>
        <v>750</v>
      </c>
      <c r="L123" s="9" t="s">
        <v>519</v>
      </c>
      <c r="Q123" s="1"/>
      <c r="T123" s="165"/>
    </row>
    <row r="124" spans="2:20">
      <c r="B124" s="230" t="s">
        <v>658</v>
      </c>
      <c r="D124" s="7"/>
      <c r="F124" s="8"/>
      <c r="G124" s="8"/>
      <c r="H124" s="8"/>
      <c r="I124" s="8"/>
      <c r="J124" s="234" t="s">
        <v>659</v>
      </c>
      <c r="K124" s="8">
        <f>K120*K121</f>
        <v>120</v>
      </c>
      <c r="L124" s="9" t="s">
        <v>519</v>
      </c>
      <c r="Q124" s="1"/>
      <c r="T124" s="165"/>
    </row>
    <row r="125" spans="2:20">
      <c r="D125" s="7"/>
      <c r="E125" s="234"/>
      <c r="F125" s="8"/>
      <c r="G125" s="8"/>
      <c r="H125" s="8"/>
      <c r="I125" s="8"/>
      <c r="J125" s="8"/>
      <c r="K125" s="8"/>
      <c r="L125" s="9"/>
      <c r="Q125" s="1"/>
      <c r="T125" s="165"/>
    </row>
    <row r="126" spans="2:20">
      <c r="B126" s="212" t="s">
        <v>660</v>
      </c>
      <c r="E126" s="234"/>
      <c r="F126" s="8"/>
      <c r="G126" s="8"/>
      <c r="H126" s="8"/>
      <c r="I126" s="8"/>
      <c r="J126" s="270" t="s">
        <v>661</v>
      </c>
      <c r="K126" s="8">
        <f>K97-K123-K124</f>
        <v>370</v>
      </c>
      <c r="L126" s="9" t="s">
        <v>519</v>
      </c>
      <c r="Q126" s="1"/>
      <c r="T126" s="165"/>
    </row>
    <row r="127" spans="2:20">
      <c r="D127" s="7"/>
      <c r="E127" s="234"/>
      <c r="F127" s="8"/>
      <c r="G127" s="8"/>
      <c r="H127" s="8"/>
      <c r="I127" s="8"/>
      <c r="J127" s="234"/>
      <c r="K127" s="8"/>
      <c r="L127" s="9"/>
      <c r="Q127" s="1"/>
      <c r="T127" s="165"/>
    </row>
    <row r="128" spans="2:20">
      <c r="D128" s="10"/>
      <c r="E128" s="226"/>
      <c r="F128" s="11"/>
      <c r="G128" s="11"/>
      <c r="H128" s="11"/>
      <c r="I128" s="11"/>
      <c r="J128" s="274"/>
      <c r="K128" s="11"/>
      <c r="L128" s="12"/>
      <c r="Q128" s="1"/>
      <c r="T128" s="165"/>
    </row>
    <row r="129" spans="2:20">
      <c r="E129" s="165"/>
      <c r="Q129" s="1"/>
      <c r="T129" s="165"/>
    </row>
    <row r="130" spans="2:20">
      <c r="E130" s="165"/>
      <c r="Q130" s="1"/>
      <c r="T130" s="165"/>
    </row>
    <row r="131" spans="2:20">
      <c r="B131" s="287" t="s">
        <v>548</v>
      </c>
      <c r="Q131" s="1"/>
      <c r="T131" s="165"/>
    </row>
    <row r="132" spans="2:20">
      <c r="E132" s="165"/>
      <c r="Q132" s="1"/>
      <c r="T132" s="165"/>
    </row>
    <row r="133" spans="2:20">
      <c r="E133" s="165" t="s">
        <v>549</v>
      </c>
      <c r="G133" s="236">
        <f>$K$115</f>
        <v>594</v>
      </c>
      <c r="H133" s="236"/>
      <c r="I133" s="236"/>
      <c r="J133" s="236"/>
      <c r="K133" s="236"/>
      <c r="L133" s="236"/>
      <c r="M133" s="236"/>
      <c r="N133" s="237"/>
      <c r="O133" s="237"/>
      <c r="Q133" s="237"/>
      <c r="R133" s="236"/>
      <c r="S133" s="236">
        <f t="shared" ref="S133:S140" si="13">SUM(G133:R133)</f>
        <v>594</v>
      </c>
      <c r="T133" s="165"/>
    </row>
    <row r="134" spans="2:20">
      <c r="E134" s="165" t="s">
        <v>550</v>
      </c>
      <c r="G134" s="236">
        <f t="shared" ref="G134:G140" si="14">$K$115</f>
        <v>594</v>
      </c>
      <c r="H134" s="236">
        <f>$K$105</f>
        <v>250</v>
      </c>
      <c r="I134" s="236"/>
      <c r="J134" s="236"/>
      <c r="K134" s="236"/>
      <c r="L134" s="236"/>
      <c r="M134" s="236"/>
      <c r="N134" s="237"/>
      <c r="O134" s="237"/>
      <c r="Q134" s="237"/>
      <c r="R134" s="236"/>
      <c r="S134" s="236">
        <f t="shared" si="13"/>
        <v>844</v>
      </c>
      <c r="T134" s="165"/>
    </row>
    <row r="135" spans="2:20">
      <c r="E135" s="165" t="s">
        <v>551</v>
      </c>
      <c r="G135" s="236">
        <f t="shared" si="14"/>
        <v>594</v>
      </c>
      <c r="H135" s="236">
        <f t="shared" ref="H135:N140" si="15">$K$105</f>
        <v>250</v>
      </c>
      <c r="I135" s="236">
        <f>$K$110</f>
        <v>40</v>
      </c>
      <c r="J135" s="236"/>
      <c r="K135" s="236"/>
      <c r="L135" s="236"/>
      <c r="M135" s="236"/>
      <c r="N135" s="237"/>
      <c r="O135" s="237"/>
      <c r="Q135" s="237"/>
      <c r="R135" s="236"/>
      <c r="S135" s="236">
        <f t="shared" si="13"/>
        <v>884</v>
      </c>
      <c r="T135" s="165"/>
    </row>
    <row r="136" spans="2:20">
      <c r="E136" s="165" t="s">
        <v>552</v>
      </c>
      <c r="G136" s="236">
        <f t="shared" si="14"/>
        <v>594</v>
      </c>
      <c r="H136" s="236">
        <f t="shared" si="15"/>
        <v>250</v>
      </c>
      <c r="I136" s="236">
        <f t="shared" ref="I136:M140" si="16">$K$110</f>
        <v>40</v>
      </c>
      <c r="J136" s="236">
        <f t="shared" si="15"/>
        <v>250</v>
      </c>
      <c r="K136" s="236"/>
      <c r="L136" s="236"/>
      <c r="M136" s="236"/>
      <c r="N136" s="237"/>
      <c r="O136" s="237"/>
      <c r="Q136" s="237"/>
      <c r="R136" s="236"/>
      <c r="S136" s="236">
        <f t="shared" si="13"/>
        <v>1134</v>
      </c>
      <c r="T136" s="165"/>
    </row>
    <row r="137" spans="2:20">
      <c r="E137" s="165" t="s">
        <v>553</v>
      </c>
      <c r="G137" s="236">
        <f t="shared" si="14"/>
        <v>594</v>
      </c>
      <c r="H137" s="236">
        <f t="shared" si="15"/>
        <v>250</v>
      </c>
      <c r="I137" s="236">
        <f t="shared" si="16"/>
        <v>40</v>
      </c>
      <c r="J137" s="236">
        <f t="shared" si="15"/>
        <v>250</v>
      </c>
      <c r="K137" s="236">
        <f t="shared" si="16"/>
        <v>40</v>
      </c>
      <c r="L137" s="236"/>
      <c r="M137" s="236"/>
      <c r="N137" s="237"/>
      <c r="O137" s="237"/>
      <c r="Q137" s="237"/>
      <c r="R137" s="236"/>
      <c r="S137" s="236">
        <f t="shared" si="13"/>
        <v>1174</v>
      </c>
      <c r="T137" s="165"/>
    </row>
    <row r="138" spans="2:20">
      <c r="E138" s="165" t="s">
        <v>554</v>
      </c>
      <c r="G138" s="236">
        <f t="shared" si="14"/>
        <v>594</v>
      </c>
      <c r="H138" s="236">
        <f t="shared" si="15"/>
        <v>250</v>
      </c>
      <c r="I138" s="236">
        <f t="shared" si="16"/>
        <v>40</v>
      </c>
      <c r="J138" s="236">
        <f t="shared" si="15"/>
        <v>250</v>
      </c>
      <c r="K138" s="236">
        <f t="shared" si="16"/>
        <v>40</v>
      </c>
      <c r="L138" s="236">
        <f t="shared" si="15"/>
        <v>250</v>
      </c>
      <c r="M138" s="236"/>
      <c r="N138" s="237"/>
      <c r="O138" s="237"/>
      <c r="Q138" s="237"/>
      <c r="R138" s="236"/>
      <c r="S138" s="236">
        <f t="shared" si="13"/>
        <v>1424</v>
      </c>
      <c r="T138" s="165"/>
    </row>
    <row r="139" spans="2:20">
      <c r="E139" s="165" t="s">
        <v>555</v>
      </c>
      <c r="G139" s="236">
        <f t="shared" si="14"/>
        <v>594</v>
      </c>
      <c r="H139" s="236">
        <f t="shared" si="15"/>
        <v>250</v>
      </c>
      <c r="I139" s="236">
        <f t="shared" si="16"/>
        <v>40</v>
      </c>
      <c r="J139" s="236">
        <f t="shared" si="15"/>
        <v>250</v>
      </c>
      <c r="K139" s="236">
        <f t="shared" si="16"/>
        <v>40</v>
      </c>
      <c r="L139" s="236">
        <f t="shared" si="15"/>
        <v>250</v>
      </c>
      <c r="M139" s="236">
        <f t="shared" si="16"/>
        <v>40</v>
      </c>
      <c r="N139" s="237"/>
      <c r="O139" s="237"/>
      <c r="Q139" s="237"/>
      <c r="R139" s="236"/>
      <c r="S139" s="236">
        <f t="shared" si="13"/>
        <v>1464</v>
      </c>
      <c r="T139" s="165"/>
    </row>
    <row r="140" spans="2:20">
      <c r="E140" s="165" t="s">
        <v>556</v>
      </c>
      <c r="G140" s="236">
        <f t="shared" si="14"/>
        <v>594</v>
      </c>
      <c r="H140" s="236">
        <f t="shared" si="15"/>
        <v>250</v>
      </c>
      <c r="I140" s="236">
        <f t="shared" si="16"/>
        <v>40</v>
      </c>
      <c r="J140" s="236">
        <f t="shared" si="15"/>
        <v>250</v>
      </c>
      <c r="K140" s="236">
        <f t="shared" si="16"/>
        <v>40</v>
      </c>
      <c r="L140" s="236">
        <f t="shared" si="15"/>
        <v>250</v>
      </c>
      <c r="M140" s="236">
        <f t="shared" si="16"/>
        <v>40</v>
      </c>
      <c r="N140" s="236">
        <f t="shared" si="15"/>
        <v>250</v>
      </c>
      <c r="O140" s="236"/>
      <c r="Q140" s="237"/>
      <c r="R140" s="236"/>
      <c r="S140" s="236">
        <f t="shared" si="13"/>
        <v>1714</v>
      </c>
      <c r="T140" s="165"/>
    </row>
    <row r="141" spans="2:20">
      <c r="E141" s="165"/>
      <c r="Q141" s="1"/>
      <c r="T141" s="165"/>
    </row>
    <row r="142" spans="2:20">
      <c r="B142" s="287" t="s">
        <v>557</v>
      </c>
      <c r="Q142" s="1"/>
      <c r="T142" s="165"/>
    </row>
    <row r="143" spans="2:20">
      <c r="E143" s="165"/>
      <c r="Q143" s="1"/>
      <c r="T143" s="165"/>
    </row>
    <row r="144" spans="2:20">
      <c r="E144" s="165" t="s">
        <v>558</v>
      </c>
      <c r="G144" s="236">
        <f>$K$97</f>
        <v>1240</v>
      </c>
      <c r="H144" s="236">
        <f>$K$121</f>
        <v>40</v>
      </c>
      <c r="I144" s="236"/>
      <c r="J144" s="236"/>
      <c r="K144" s="236"/>
      <c r="L144" s="236"/>
      <c r="M144" s="236"/>
      <c r="N144" s="236"/>
      <c r="O144" s="236"/>
      <c r="P144" s="236"/>
      <c r="Q144" s="236"/>
      <c r="R144" s="236"/>
      <c r="S144" s="236">
        <f t="shared" ref="S144:S149" si="17">G144-SUM(H144:Q144)</f>
        <v>1200</v>
      </c>
      <c r="T144" s="165"/>
    </row>
    <row r="145" spans="2:20">
      <c r="E145" s="165" t="s">
        <v>662</v>
      </c>
      <c r="G145" s="236">
        <f t="shared" ref="G145:G149" si="18">$K$97</f>
        <v>1240</v>
      </c>
      <c r="H145" s="236">
        <f t="shared" ref="H145:L149" si="19">$K$121</f>
        <v>40</v>
      </c>
      <c r="I145" s="236">
        <f>$K$106</f>
        <v>250</v>
      </c>
      <c r="J145" s="236"/>
      <c r="K145" s="236"/>
      <c r="L145" s="236"/>
      <c r="M145" s="236"/>
      <c r="N145" s="236"/>
      <c r="O145" s="236"/>
      <c r="P145" s="236"/>
      <c r="Q145" s="236"/>
      <c r="R145" s="236"/>
      <c r="S145" s="236">
        <f t="shared" si="17"/>
        <v>950</v>
      </c>
      <c r="T145" s="165"/>
    </row>
    <row r="146" spans="2:20">
      <c r="E146" s="165" t="s">
        <v>551</v>
      </c>
      <c r="G146" s="236">
        <f t="shared" si="18"/>
        <v>1240</v>
      </c>
      <c r="H146" s="236">
        <f t="shared" si="19"/>
        <v>40</v>
      </c>
      <c r="I146" s="236">
        <f t="shared" ref="I146:M149" si="20">$K$106</f>
        <v>250</v>
      </c>
      <c r="J146" s="236">
        <f t="shared" si="19"/>
        <v>40</v>
      </c>
      <c r="K146" s="236"/>
      <c r="L146" s="236"/>
      <c r="M146" s="236"/>
      <c r="N146" s="236"/>
      <c r="O146" s="236"/>
      <c r="P146" s="236"/>
      <c r="Q146" s="236"/>
      <c r="R146" s="236"/>
      <c r="S146" s="236">
        <f t="shared" si="17"/>
        <v>910</v>
      </c>
      <c r="T146" s="165"/>
    </row>
    <row r="147" spans="2:20">
      <c r="E147" s="165" t="s">
        <v>562</v>
      </c>
      <c r="G147" s="236">
        <f t="shared" si="18"/>
        <v>1240</v>
      </c>
      <c r="H147" s="236">
        <f t="shared" si="19"/>
        <v>40</v>
      </c>
      <c r="I147" s="236">
        <f t="shared" si="20"/>
        <v>250</v>
      </c>
      <c r="J147" s="236">
        <f t="shared" si="19"/>
        <v>40</v>
      </c>
      <c r="K147" s="236">
        <f t="shared" si="20"/>
        <v>250</v>
      </c>
      <c r="L147" s="236"/>
      <c r="M147" s="236"/>
      <c r="N147" s="236"/>
      <c r="O147" s="236"/>
      <c r="P147" s="236"/>
      <c r="Q147" s="236"/>
      <c r="R147" s="236"/>
      <c r="S147" s="236">
        <f t="shared" si="17"/>
        <v>660</v>
      </c>
      <c r="T147" s="165"/>
    </row>
    <row r="148" spans="2:20">
      <c r="E148" s="165" t="s">
        <v>553</v>
      </c>
      <c r="G148" s="236">
        <f t="shared" si="18"/>
        <v>1240</v>
      </c>
      <c r="H148" s="236">
        <f t="shared" si="19"/>
        <v>40</v>
      </c>
      <c r="I148" s="236">
        <f t="shared" si="20"/>
        <v>250</v>
      </c>
      <c r="J148" s="236">
        <f t="shared" si="19"/>
        <v>40</v>
      </c>
      <c r="K148" s="236">
        <f t="shared" si="20"/>
        <v>250</v>
      </c>
      <c r="L148" s="236">
        <f t="shared" si="19"/>
        <v>40</v>
      </c>
      <c r="M148" s="236"/>
      <c r="N148" s="236"/>
      <c r="O148" s="236"/>
      <c r="P148" s="236"/>
      <c r="Q148" s="236"/>
      <c r="R148" s="236"/>
      <c r="S148" s="236">
        <f t="shared" si="17"/>
        <v>620</v>
      </c>
      <c r="T148" s="165"/>
    </row>
    <row r="149" spans="2:20">
      <c r="E149" s="165" t="s">
        <v>663</v>
      </c>
      <c r="G149" s="236">
        <f t="shared" si="18"/>
        <v>1240</v>
      </c>
      <c r="H149" s="236">
        <f t="shared" si="19"/>
        <v>40</v>
      </c>
      <c r="I149" s="236">
        <f t="shared" si="20"/>
        <v>250</v>
      </c>
      <c r="J149" s="236">
        <f t="shared" si="19"/>
        <v>40</v>
      </c>
      <c r="K149" s="236">
        <f t="shared" si="20"/>
        <v>250</v>
      </c>
      <c r="L149" s="236">
        <f t="shared" si="19"/>
        <v>40</v>
      </c>
      <c r="M149" s="236">
        <f t="shared" si="20"/>
        <v>250</v>
      </c>
      <c r="N149" s="236"/>
      <c r="O149" s="236"/>
      <c r="P149" s="236"/>
      <c r="Q149" s="236"/>
      <c r="R149" s="236"/>
      <c r="S149" s="236">
        <f t="shared" si="17"/>
        <v>370</v>
      </c>
      <c r="T149" s="165"/>
    </row>
    <row r="150" spans="2:20">
      <c r="E150" s="165"/>
      <c r="Q150" s="1"/>
      <c r="T150" s="165"/>
    </row>
    <row r="151" spans="2:20">
      <c r="D151" s="288"/>
      <c r="E151" s="289"/>
      <c r="F151" s="288"/>
      <c r="G151" s="288"/>
      <c r="H151" s="288"/>
      <c r="I151" s="288"/>
      <c r="J151" s="288"/>
      <c r="K151" s="288"/>
      <c r="L151" s="288"/>
      <c r="M151" s="288"/>
      <c r="N151" s="288"/>
      <c r="O151" s="288"/>
      <c r="P151" s="288"/>
      <c r="Q151" s="288"/>
      <c r="R151" s="288"/>
      <c r="S151" s="288"/>
      <c r="T151" s="165"/>
    </row>
    <row r="152" spans="2:20">
      <c r="E152" s="165"/>
      <c r="Q152" s="1"/>
      <c r="T152" s="165"/>
    </row>
    <row r="153" spans="2:20">
      <c r="B153" s="290" t="s">
        <v>664</v>
      </c>
      <c r="E153" s="165"/>
      <c r="Q153" s="1"/>
      <c r="T153" s="165"/>
    </row>
    <row r="154" spans="2:20">
      <c r="E154" s="239" t="s">
        <v>530</v>
      </c>
      <c r="G154" s="291">
        <v>1754</v>
      </c>
      <c r="H154" s="1" t="s">
        <v>519</v>
      </c>
      <c r="Q154" s="1"/>
      <c r="T154" s="165"/>
    </row>
    <row r="155" spans="2:20">
      <c r="E155" s="239" t="s">
        <v>592</v>
      </c>
      <c r="G155" s="1">
        <f>SQRT(2)</f>
        <v>1.4142135623730951</v>
      </c>
      <c r="I155" s="3" t="s">
        <v>593</v>
      </c>
      <c r="Q155" s="1"/>
      <c r="T155" s="165"/>
    </row>
    <row r="156" spans="2:20">
      <c r="E156" s="239" t="s">
        <v>528</v>
      </c>
      <c r="G156" s="1">
        <f>ROUND(G154/G155,0)</f>
        <v>1240</v>
      </c>
      <c r="H156" s="1" t="s">
        <v>519</v>
      </c>
      <c r="Q156" s="1"/>
      <c r="T156" s="165"/>
    </row>
    <row r="157" spans="2:20">
      <c r="E157" s="165"/>
      <c r="Q157" s="1"/>
      <c r="T157" s="165"/>
    </row>
    <row r="158" spans="2:20">
      <c r="E158" s="239" t="s">
        <v>665</v>
      </c>
      <c r="G158" s="291">
        <v>40</v>
      </c>
      <c r="H158" s="1" t="s">
        <v>519</v>
      </c>
      <c r="Q158" s="1"/>
      <c r="T158" s="165"/>
    </row>
    <row r="159" spans="2:20">
      <c r="E159" s="239" t="s">
        <v>666</v>
      </c>
      <c r="G159" s="1">
        <f>G158</f>
        <v>40</v>
      </c>
      <c r="H159" s="1" t="s">
        <v>519</v>
      </c>
      <c r="Q159" s="1"/>
      <c r="T159" s="165"/>
    </row>
    <row r="160" spans="2:20">
      <c r="E160" s="165"/>
      <c r="Q160" s="1"/>
      <c r="T160" s="165"/>
    </row>
    <row r="161" spans="5:20">
      <c r="E161" s="239" t="s">
        <v>667</v>
      </c>
      <c r="G161" s="291">
        <v>4</v>
      </c>
      <c r="Q161" s="1"/>
      <c r="T161" s="165"/>
    </row>
    <row r="162" spans="5:20">
      <c r="E162" s="239" t="s">
        <v>668</v>
      </c>
      <c r="G162" s="291">
        <v>3</v>
      </c>
      <c r="Q162" s="1"/>
      <c r="T162" s="165"/>
    </row>
    <row r="163" spans="5:20">
      <c r="E163" s="165"/>
      <c r="Q163" s="1"/>
      <c r="T163" s="165"/>
    </row>
    <row r="164" spans="5:20">
      <c r="E164" s="239" t="s">
        <v>669</v>
      </c>
      <c r="G164" s="291">
        <v>250</v>
      </c>
      <c r="H164" s="1" t="s">
        <v>519</v>
      </c>
      <c r="Q164" s="1"/>
      <c r="T164" s="165"/>
    </row>
    <row r="165" spans="5:20">
      <c r="E165" s="239" t="s">
        <v>670</v>
      </c>
      <c r="G165" s="291">
        <v>250</v>
      </c>
      <c r="H165" s="1" t="s">
        <v>519</v>
      </c>
      <c r="Q165" s="1"/>
      <c r="T165" s="165"/>
    </row>
    <row r="166" spans="5:20">
      <c r="E166" s="165"/>
      <c r="Q166" s="1"/>
      <c r="T166" s="165"/>
    </row>
    <row r="167" spans="5:20">
      <c r="E167" s="239" t="s">
        <v>671</v>
      </c>
      <c r="Q167" s="1"/>
      <c r="T167" s="165"/>
    </row>
    <row r="168" spans="5:20">
      <c r="E168" s="239" t="s">
        <v>672</v>
      </c>
      <c r="G168" s="1">
        <f>G154-G158</f>
        <v>1714</v>
      </c>
      <c r="Q168" s="1"/>
      <c r="T168" s="165"/>
    </row>
    <row r="169" spans="5:20">
      <c r="E169" s="239" t="s">
        <v>673</v>
      </c>
      <c r="G169" s="1">
        <f>G168-G165</f>
        <v>1464</v>
      </c>
      <c r="Q169" s="1"/>
      <c r="T169" s="165"/>
    </row>
    <row r="170" spans="5:20">
      <c r="E170" s="239" t="s">
        <v>674</v>
      </c>
      <c r="G170" s="1">
        <f>G169-G158</f>
        <v>1424</v>
      </c>
      <c r="Q170" s="1"/>
      <c r="T170" s="165"/>
    </row>
    <row r="171" spans="5:20">
      <c r="E171" s="239" t="s">
        <v>675</v>
      </c>
      <c r="G171" s="1">
        <f>G170-G165</f>
        <v>1174</v>
      </c>
      <c r="Q171" s="1"/>
      <c r="T171" s="165"/>
    </row>
    <row r="172" spans="5:20">
      <c r="E172" s="239" t="s">
        <v>676</v>
      </c>
      <c r="G172" s="1">
        <f>G171-G158</f>
        <v>1134</v>
      </c>
      <c r="Q172" s="1"/>
      <c r="T172" s="165"/>
    </row>
    <row r="173" spans="5:20">
      <c r="E173" s="239" t="s">
        <v>677</v>
      </c>
      <c r="G173" s="1">
        <f>G172-G165</f>
        <v>884</v>
      </c>
      <c r="Q173" s="1"/>
      <c r="T173" s="165"/>
    </row>
    <row r="174" spans="5:20">
      <c r="E174" s="239" t="s">
        <v>678</v>
      </c>
      <c r="G174" s="1">
        <f>G173-G158</f>
        <v>844</v>
      </c>
      <c r="Q174" s="1"/>
      <c r="T174" s="165"/>
    </row>
    <row r="175" spans="5:20">
      <c r="E175" s="239" t="s">
        <v>679</v>
      </c>
      <c r="G175" s="1">
        <f>G174-G165</f>
        <v>594</v>
      </c>
      <c r="Q175" s="1"/>
      <c r="T175" s="165"/>
    </row>
    <row r="176" spans="5:20">
      <c r="E176" s="165"/>
      <c r="Q176" s="1"/>
      <c r="T176" s="165"/>
    </row>
    <row r="177" spans="5:20">
      <c r="E177" s="239" t="s">
        <v>680</v>
      </c>
      <c r="Q177" s="1"/>
      <c r="T177" s="165"/>
    </row>
    <row r="178" spans="5:20">
      <c r="E178" s="165"/>
      <c r="Q178" s="1"/>
      <c r="T178" s="165"/>
    </row>
    <row r="179" spans="5:20">
      <c r="E179" s="239" t="s">
        <v>672</v>
      </c>
      <c r="G179" s="1">
        <f>G156-G159</f>
        <v>1200</v>
      </c>
      <c r="Q179" s="1"/>
      <c r="T179" s="165"/>
    </row>
    <row r="180" spans="5:20">
      <c r="E180" s="239" t="s">
        <v>673</v>
      </c>
      <c r="G180" s="1">
        <f>G179-G164</f>
        <v>950</v>
      </c>
      <c r="Q180" s="1"/>
      <c r="T180" s="165"/>
    </row>
    <row r="181" spans="5:20">
      <c r="E181" s="239" t="s">
        <v>674</v>
      </c>
      <c r="G181" s="1">
        <f>G180-G159</f>
        <v>910</v>
      </c>
      <c r="Q181" s="1"/>
      <c r="T181" s="165"/>
    </row>
    <row r="182" spans="5:20">
      <c r="E182" s="239" t="s">
        <v>675</v>
      </c>
      <c r="G182" s="1">
        <f>G181-G164</f>
        <v>660</v>
      </c>
      <c r="Q182" s="1"/>
      <c r="T182" s="165"/>
    </row>
    <row r="183" spans="5:20">
      <c r="E183" s="239" t="s">
        <v>676</v>
      </c>
      <c r="G183" s="1">
        <f>G182-G159</f>
        <v>620</v>
      </c>
      <c r="Q183" s="1"/>
      <c r="T183" s="165"/>
    </row>
    <row r="184" spans="5:20">
      <c r="E184" s="239" t="s">
        <v>677</v>
      </c>
      <c r="G184" s="1">
        <f>G183-G164</f>
        <v>370</v>
      </c>
      <c r="Q184" s="1"/>
      <c r="T184" s="165"/>
    </row>
    <row r="185" spans="5:20">
      <c r="E185" s="165"/>
      <c r="Q185" s="1"/>
      <c r="T185" s="165"/>
    </row>
    <row r="186" spans="5:20">
      <c r="E186" s="165"/>
      <c r="Q186" s="1"/>
      <c r="T186" s="165"/>
    </row>
    <row r="187" spans="5:20">
      <c r="E187" s="165"/>
      <c r="Q187" s="1"/>
      <c r="T187" s="165"/>
    </row>
  </sheetData>
  <pageMargins left="0.59055118110236227" right="0.39370078740157483" top="0.98425196850393704" bottom="0.98425196850393704" header="0.51181102362204722" footer="0.51181102362204722"/>
  <pageSetup paperSize="9" scale="41"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9"/>
  <dimension ref="A22:M226"/>
  <sheetViews>
    <sheetView zoomScaleNormal="90" workbookViewId="0">
      <selection activeCell="L52" sqref="L52"/>
    </sheetView>
  </sheetViews>
  <sheetFormatPr baseColWidth="10" defaultColWidth="11.42578125" defaultRowHeight="12.75"/>
  <cols>
    <col min="1" max="1" width="7" style="3" customWidth="1"/>
    <col min="2" max="2" width="38.28515625" style="239" customWidth="1"/>
    <col min="3" max="16384" width="11.42578125" style="3"/>
  </cols>
  <sheetData>
    <row r="22" spans="2:5">
      <c r="B22" s="238" t="s">
        <v>565</v>
      </c>
    </row>
    <row r="24" spans="2:5">
      <c r="B24" s="239" t="s">
        <v>530</v>
      </c>
      <c r="C24" s="240">
        <v>1488</v>
      </c>
      <c r="D24" s="3" t="s">
        <v>519</v>
      </c>
    </row>
    <row r="25" spans="2:5">
      <c r="B25" s="239" t="s">
        <v>566</v>
      </c>
      <c r="C25" s="241">
        <f>SQRT(2)</f>
        <v>1.4142135623730951</v>
      </c>
      <c r="E25" s="3" t="s">
        <v>271</v>
      </c>
    </row>
    <row r="26" spans="2:5">
      <c r="B26" s="239" t="s">
        <v>528</v>
      </c>
      <c r="C26" s="242">
        <f>C24*C25</f>
        <v>2104.3497808111656</v>
      </c>
      <c r="D26" s="3" t="s">
        <v>519</v>
      </c>
    </row>
    <row r="28" spans="2:5">
      <c r="B28" s="243" t="s">
        <v>567</v>
      </c>
      <c r="C28" s="240">
        <v>400</v>
      </c>
      <c r="D28" s="3" t="s">
        <v>519</v>
      </c>
    </row>
    <row r="29" spans="2:5">
      <c r="B29" s="239" t="s">
        <v>526</v>
      </c>
      <c r="C29" s="3">
        <f>C28</f>
        <v>400</v>
      </c>
      <c r="D29" s="3" t="s">
        <v>519</v>
      </c>
    </row>
    <row r="31" spans="2:5">
      <c r="B31" s="239" t="s">
        <v>536</v>
      </c>
      <c r="C31" s="240">
        <v>3</v>
      </c>
    </row>
    <row r="32" spans="2:5">
      <c r="B32" s="239" t="s">
        <v>568</v>
      </c>
      <c r="C32" s="240">
        <v>4</v>
      </c>
    </row>
    <row r="33" spans="2:9">
      <c r="B33" s="239" t="s">
        <v>542</v>
      </c>
      <c r="C33" s="240">
        <v>3</v>
      </c>
    </row>
    <row r="34" spans="2:9">
      <c r="B34" s="239" t="s">
        <v>569</v>
      </c>
      <c r="C34" s="240">
        <v>3</v>
      </c>
    </row>
    <row r="36" spans="2:9">
      <c r="B36" s="239" t="s">
        <v>570</v>
      </c>
      <c r="C36" s="3">
        <f>C28*C31</f>
        <v>1200</v>
      </c>
      <c r="D36" s="3" t="s">
        <v>519</v>
      </c>
    </row>
    <row r="37" spans="2:9">
      <c r="B37" s="239" t="s">
        <v>571</v>
      </c>
      <c r="C37" s="3">
        <f>C24-C36</f>
        <v>288</v>
      </c>
      <c r="D37" s="3" t="s">
        <v>519</v>
      </c>
    </row>
    <row r="38" spans="2:9">
      <c r="B38" s="239" t="s">
        <v>572</v>
      </c>
      <c r="C38" s="3">
        <f>C37/C32</f>
        <v>72</v>
      </c>
      <c r="D38" s="3" t="s">
        <v>519</v>
      </c>
    </row>
    <row r="40" spans="2:9">
      <c r="B40" s="239" t="s">
        <v>573</v>
      </c>
      <c r="C40" s="3">
        <f>C38*2</f>
        <v>144</v>
      </c>
      <c r="D40" s="3" t="s">
        <v>519</v>
      </c>
    </row>
    <row r="42" spans="2:9">
      <c r="B42" s="239" t="s">
        <v>574</v>
      </c>
    </row>
    <row r="44" spans="2:9">
      <c r="B44" s="239" t="s">
        <v>575</v>
      </c>
      <c r="C44" s="16">
        <f t="shared" ref="C44:C49" si="0">$C$38</f>
        <v>72</v>
      </c>
      <c r="D44" s="16"/>
      <c r="E44" s="16"/>
      <c r="F44" s="16"/>
      <c r="G44" s="16"/>
      <c r="H44" s="16"/>
      <c r="I44" s="244">
        <f t="shared" ref="I44:I49" si="1">SUM(C44:H44)</f>
        <v>72</v>
      </c>
    </row>
    <row r="45" spans="2:9">
      <c r="B45" s="239" t="s">
        <v>576</v>
      </c>
      <c r="C45" s="16">
        <f t="shared" si="0"/>
        <v>72</v>
      </c>
      <c r="D45" s="16">
        <f>$C$28</f>
        <v>400</v>
      </c>
      <c r="E45" s="16"/>
      <c r="F45" s="16"/>
      <c r="G45" s="16"/>
      <c r="H45" s="16"/>
      <c r="I45" s="244">
        <f t="shared" si="1"/>
        <v>472</v>
      </c>
    </row>
    <row r="46" spans="2:9">
      <c r="B46" s="239" t="s">
        <v>577</v>
      </c>
      <c r="C46" s="16">
        <f t="shared" si="0"/>
        <v>72</v>
      </c>
      <c r="D46" s="16">
        <f>$C$28</f>
        <v>400</v>
      </c>
      <c r="E46" s="16">
        <f>$C$38</f>
        <v>72</v>
      </c>
      <c r="F46" s="16"/>
      <c r="G46" s="16"/>
      <c r="H46" s="16"/>
      <c r="I46" s="244">
        <f t="shared" si="1"/>
        <v>544</v>
      </c>
    </row>
    <row r="47" spans="2:9">
      <c r="B47" s="239" t="s">
        <v>578</v>
      </c>
      <c r="C47" s="16">
        <f t="shared" si="0"/>
        <v>72</v>
      </c>
      <c r="D47" s="16">
        <f>$C$28</f>
        <v>400</v>
      </c>
      <c r="E47" s="16">
        <f>$C$38</f>
        <v>72</v>
      </c>
      <c r="F47" s="16">
        <f>$C$28</f>
        <v>400</v>
      </c>
      <c r="G47" s="16"/>
      <c r="H47" s="16"/>
      <c r="I47" s="244">
        <f t="shared" si="1"/>
        <v>944</v>
      </c>
    </row>
    <row r="48" spans="2:9">
      <c r="B48" s="239" t="s">
        <v>579</v>
      </c>
      <c r="C48" s="16">
        <f t="shared" si="0"/>
        <v>72</v>
      </c>
      <c r="D48" s="16">
        <f>$C$28</f>
        <v>400</v>
      </c>
      <c r="E48" s="16">
        <f>$C$38</f>
        <v>72</v>
      </c>
      <c r="F48" s="16">
        <f>$C$28</f>
        <v>400</v>
      </c>
      <c r="G48" s="16">
        <f>$C$38</f>
        <v>72</v>
      </c>
      <c r="H48" s="16"/>
      <c r="I48" s="244">
        <f t="shared" si="1"/>
        <v>1016</v>
      </c>
    </row>
    <row r="49" spans="2:9">
      <c r="B49" s="239" t="s">
        <v>580</v>
      </c>
      <c r="C49" s="16">
        <f t="shared" si="0"/>
        <v>72</v>
      </c>
      <c r="D49" s="16">
        <f>$C$28</f>
        <v>400</v>
      </c>
      <c r="E49" s="16">
        <f>$C$38</f>
        <v>72</v>
      </c>
      <c r="F49" s="16">
        <f>$C$28</f>
        <v>400</v>
      </c>
      <c r="G49" s="16">
        <f>$C$38</f>
        <v>72</v>
      </c>
      <c r="H49" s="16">
        <f>$C$28</f>
        <v>400</v>
      </c>
      <c r="I49" s="244">
        <f t="shared" si="1"/>
        <v>1416</v>
      </c>
    </row>
    <row r="50" spans="2:9">
      <c r="C50" s="16"/>
      <c r="D50" s="16"/>
      <c r="E50" s="16"/>
      <c r="F50" s="16"/>
      <c r="G50" s="16"/>
      <c r="H50" s="16"/>
      <c r="I50" s="16"/>
    </row>
    <row r="51" spans="2:9">
      <c r="B51" s="239" t="s">
        <v>581</v>
      </c>
      <c r="C51" s="16"/>
      <c r="D51" s="16"/>
      <c r="E51" s="16"/>
      <c r="F51" s="16"/>
      <c r="G51" s="16"/>
      <c r="H51" s="16"/>
      <c r="I51" s="16"/>
    </row>
    <row r="52" spans="2:9">
      <c r="C52" s="16"/>
      <c r="D52" s="16"/>
      <c r="E52" s="16"/>
      <c r="F52" s="16"/>
      <c r="G52" s="16"/>
      <c r="H52" s="16"/>
      <c r="I52" s="16"/>
    </row>
    <row r="53" spans="2:9">
      <c r="B53" s="239" t="s">
        <v>582</v>
      </c>
      <c r="C53" s="16">
        <f t="shared" ref="C53:C58" si="2">$C$40</f>
        <v>144</v>
      </c>
      <c r="D53" s="16"/>
      <c r="E53" s="16"/>
      <c r="F53" s="16"/>
      <c r="G53" s="16"/>
      <c r="H53" s="16"/>
      <c r="I53" s="244">
        <f t="shared" ref="I53:I58" si="3">SUM(C53:H53)</f>
        <v>144</v>
      </c>
    </row>
    <row r="54" spans="2:9">
      <c r="B54" s="239" t="s">
        <v>576</v>
      </c>
      <c r="C54" s="16">
        <f t="shared" si="2"/>
        <v>144</v>
      </c>
      <c r="D54" s="16">
        <f>$C$29</f>
        <v>400</v>
      </c>
      <c r="E54" s="16"/>
      <c r="F54" s="16"/>
      <c r="G54" s="16"/>
      <c r="H54" s="16"/>
      <c r="I54" s="244">
        <f t="shared" si="3"/>
        <v>544</v>
      </c>
    </row>
    <row r="55" spans="2:9">
      <c r="B55" s="239" t="s">
        <v>583</v>
      </c>
      <c r="C55" s="16">
        <f t="shared" si="2"/>
        <v>144</v>
      </c>
      <c r="D55" s="16">
        <f>$C$29</f>
        <v>400</v>
      </c>
      <c r="E55" s="16">
        <f>$C$40</f>
        <v>144</v>
      </c>
      <c r="F55" s="16"/>
      <c r="G55" s="16"/>
      <c r="H55" s="16"/>
      <c r="I55" s="244">
        <f t="shared" si="3"/>
        <v>688</v>
      </c>
    </row>
    <row r="56" spans="2:9">
      <c r="B56" s="239" t="s">
        <v>578</v>
      </c>
      <c r="C56" s="16">
        <f t="shared" si="2"/>
        <v>144</v>
      </c>
      <c r="D56" s="16">
        <f>$C$29</f>
        <v>400</v>
      </c>
      <c r="E56" s="16">
        <f>$C$40</f>
        <v>144</v>
      </c>
      <c r="F56" s="16">
        <f>$C$29</f>
        <v>400</v>
      </c>
      <c r="G56" s="16"/>
      <c r="H56" s="16"/>
      <c r="I56" s="244">
        <f t="shared" si="3"/>
        <v>1088</v>
      </c>
    </row>
    <row r="57" spans="2:9">
      <c r="B57" s="239" t="s">
        <v>584</v>
      </c>
      <c r="C57" s="16">
        <f t="shared" si="2"/>
        <v>144</v>
      </c>
      <c r="D57" s="16">
        <f>$C$29</f>
        <v>400</v>
      </c>
      <c r="E57" s="16">
        <f>$C$40</f>
        <v>144</v>
      </c>
      <c r="F57" s="16">
        <f>$C$29</f>
        <v>400</v>
      </c>
      <c r="G57" s="16">
        <f>$C$40</f>
        <v>144</v>
      </c>
      <c r="H57" s="16"/>
      <c r="I57" s="244">
        <f t="shared" si="3"/>
        <v>1232</v>
      </c>
    </row>
    <row r="58" spans="2:9">
      <c r="B58" s="239" t="s">
        <v>580</v>
      </c>
      <c r="C58" s="16">
        <f t="shared" si="2"/>
        <v>144</v>
      </c>
      <c r="D58" s="16">
        <f>$C$29</f>
        <v>400</v>
      </c>
      <c r="E58" s="16">
        <f>$C$40</f>
        <v>144</v>
      </c>
      <c r="F58" s="16">
        <f>$C$29</f>
        <v>400</v>
      </c>
      <c r="G58" s="16">
        <f>$C$40</f>
        <v>144</v>
      </c>
      <c r="H58" s="16">
        <f>$C$29</f>
        <v>400</v>
      </c>
      <c r="I58" s="244">
        <f t="shared" si="3"/>
        <v>1632</v>
      </c>
    </row>
    <row r="83" spans="2:13">
      <c r="B83" s="255" t="s">
        <v>585</v>
      </c>
      <c r="C83" s="256">
        <v>1</v>
      </c>
      <c r="D83" s="256">
        <f>C83*SQRT(2)</f>
        <v>1.4142135623730951</v>
      </c>
      <c r="E83" s="256">
        <f>D83*SQRT(2)</f>
        <v>2.0000000000000004</v>
      </c>
      <c r="F83" s="256">
        <f>E83*SQRT(2)</f>
        <v>2.8284271247461907</v>
      </c>
      <c r="G83" s="256">
        <f t="shared" ref="G83:M83" si="4">F83*SQRT(2)</f>
        <v>4.0000000000000009</v>
      </c>
      <c r="H83" s="256">
        <f t="shared" si="4"/>
        <v>5.6568542494923815</v>
      </c>
      <c r="I83" s="256">
        <f t="shared" si="4"/>
        <v>8.0000000000000018</v>
      </c>
      <c r="J83" s="256">
        <f t="shared" si="4"/>
        <v>11.313708498984763</v>
      </c>
      <c r="K83" s="256">
        <f t="shared" si="4"/>
        <v>16.000000000000004</v>
      </c>
      <c r="L83" s="256">
        <f t="shared" si="4"/>
        <v>22.627416997969526</v>
      </c>
      <c r="M83" s="257">
        <f t="shared" si="4"/>
        <v>32.000000000000007</v>
      </c>
    </row>
    <row r="84" spans="2:13">
      <c r="B84" s="258" t="s">
        <v>586</v>
      </c>
      <c r="C84" s="190">
        <v>1</v>
      </c>
      <c r="D84" s="190">
        <v>2</v>
      </c>
      <c r="E84" s="190">
        <f>C84+D84</f>
        <v>3</v>
      </c>
      <c r="F84" s="190">
        <f>D84+E84</f>
        <v>5</v>
      </c>
      <c r="G84" s="190">
        <f t="shared" ref="G84:M84" si="5">E84+F84</f>
        <v>8</v>
      </c>
      <c r="H84" s="190">
        <f t="shared" si="5"/>
        <v>13</v>
      </c>
      <c r="I84" s="190">
        <f t="shared" si="5"/>
        <v>21</v>
      </c>
      <c r="J84" s="190">
        <f t="shared" si="5"/>
        <v>34</v>
      </c>
      <c r="K84" s="190">
        <f t="shared" si="5"/>
        <v>55</v>
      </c>
      <c r="L84" s="190">
        <f t="shared" si="5"/>
        <v>89</v>
      </c>
      <c r="M84" s="259">
        <f t="shared" si="5"/>
        <v>144</v>
      </c>
    </row>
    <row r="85" spans="2:13">
      <c r="B85" s="258"/>
      <c r="C85" s="190"/>
      <c r="D85" s="190"/>
      <c r="E85" s="190"/>
      <c r="F85" s="190"/>
      <c r="G85" s="190"/>
      <c r="H85" s="190"/>
      <c r="I85" s="190"/>
      <c r="J85" s="190"/>
      <c r="K85" s="190"/>
      <c r="L85" s="190"/>
      <c r="M85" s="259"/>
    </row>
    <row r="86" spans="2:13">
      <c r="B86" s="260" t="s">
        <v>585</v>
      </c>
      <c r="C86" s="190" t="s">
        <v>587</v>
      </c>
      <c r="D86" s="190"/>
      <c r="E86" s="190"/>
      <c r="F86" s="190"/>
      <c r="G86" s="190"/>
      <c r="H86" s="190"/>
      <c r="I86" s="190"/>
      <c r="J86" s="190"/>
      <c r="K86" s="190"/>
      <c r="L86" s="190"/>
      <c r="M86" s="259"/>
    </row>
    <row r="87" spans="2:13">
      <c r="B87" s="261" t="s">
        <v>586</v>
      </c>
      <c r="C87" s="262" t="s">
        <v>588</v>
      </c>
      <c r="D87" s="262"/>
      <c r="E87" s="262"/>
      <c r="F87" s="262"/>
      <c r="G87" s="262"/>
      <c r="H87" s="262"/>
      <c r="I87" s="262"/>
      <c r="J87" s="262"/>
      <c r="K87" s="262"/>
      <c r="L87" s="262"/>
      <c r="M87" s="263"/>
    </row>
    <row r="92" spans="2:13">
      <c r="B92" s="245" t="s">
        <v>589</v>
      </c>
    </row>
    <row r="94" spans="2:13">
      <c r="B94" s="239" t="s">
        <v>590</v>
      </c>
      <c r="C94" s="227">
        <v>180</v>
      </c>
      <c r="D94" s="3" t="s">
        <v>591</v>
      </c>
    </row>
    <row r="95" spans="2:13">
      <c r="B95" s="239" t="s">
        <v>592</v>
      </c>
      <c r="C95" s="246">
        <f>SQRT(2)</f>
        <v>1.4142135623730951</v>
      </c>
      <c r="E95" s="3" t="s">
        <v>593</v>
      </c>
    </row>
    <row r="96" spans="2:13">
      <c r="B96" s="239" t="s">
        <v>317</v>
      </c>
      <c r="C96" s="227">
        <v>1488</v>
      </c>
      <c r="D96" s="3" t="s">
        <v>519</v>
      </c>
    </row>
    <row r="97" spans="1:11">
      <c r="B97" s="239" t="s">
        <v>318</v>
      </c>
      <c r="C97" s="247">
        <f>C96*C95</f>
        <v>2104.3497808111656</v>
      </c>
      <c r="D97" s="3" t="s">
        <v>519</v>
      </c>
    </row>
    <row r="98" spans="1:11">
      <c r="B98" s="239" t="s">
        <v>594</v>
      </c>
      <c r="C98" s="227">
        <v>3</v>
      </c>
    </row>
    <row r="99" spans="1:11">
      <c r="B99" s="239" t="s">
        <v>595</v>
      </c>
      <c r="C99" s="227">
        <v>3</v>
      </c>
    </row>
    <row r="101" spans="1:11">
      <c r="A101" s="275"/>
      <c r="B101" s="265"/>
      <c r="C101" s="266"/>
      <c r="D101" s="266"/>
      <c r="E101" s="266"/>
      <c r="F101" s="266"/>
      <c r="G101" s="266"/>
      <c r="H101" s="266"/>
      <c r="I101" s="266"/>
      <c r="J101" s="266"/>
      <c r="K101" s="267"/>
    </row>
    <row r="102" spans="1:11">
      <c r="A102" s="269"/>
      <c r="B102" s="276" t="s">
        <v>646</v>
      </c>
      <c r="C102" s="190"/>
      <c r="D102" s="190"/>
      <c r="E102" s="190"/>
      <c r="F102" s="190"/>
      <c r="G102" s="190"/>
      <c r="H102" s="190"/>
      <c r="I102" s="190"/>
      <c r="J102" s="190"/>
      <c r="K102" s="259"/>
    </row>
    <row r="103" spans="1:11">
      <c r="A103" s="269"/>
      <c r="B103" s="270"/>
      <c r="C103" s="190"/>
      <c r="D103" s="190"/>
      <c r="E103" s="190"/>
      <c r="F103" s="190"/>
      <c r="G103" s="190"/>
      <c r="H103" s="190"/>
      <c r="I103" s="190"/>
      <c r="J103" s="190"/>
      <c r="K103" s="259"/>
    </row>
    <row r="104" spans="1:11">
      <c r="A104" s="269"/>
      <c r="B104" s="270" t="s">
        <v>590</v>
      </c>
      <c r="C104" s="271">
        <v>180</v>
      </c>
      <c r="D104" s="190" t="s">
        <v>596</v>
      </c>
      <c r="E104" s="190"/>
      <c r="F104" s="190"/>
      <c r="G104" s="270"/>
      <c r="H104" s="190"/>
      <c r="I104" s="190"/>
      <c r="J104" s="190"/>
      <c r="K104" s="259"/>
    </row>
    <row r="105" spans="1:11">
      <c r="A105" s="269"/>
      <c r="B105" s="270" t="s">
        <v>597</v>
      </c>
      <c r="C105" s="277">
        <v>2.54</v>
      </c>
      <c r="D105" s="190" t="s">
        <v>212</v>
      </c>
      <c r="E105" s="190"/>
      <c r="F105" s="190"/>
      <c r="G105" s="270"/>
      <c r="H105" s="190"/>
      <c r="I105" s="190"/>
      <c r="J105" s="190"/>
      <c r="K105" s="259"/>
    </row>
    <row r="106" spans="1:11">
      <c r="A106" s="269"/>
      <c r="B106" s="270" t="s">
        <v>590</v>
      </c>
      <c r="C106" s="272">
        <f>C104/C105</f>
        <v>70.866141732283467</v>
      </c>
      <c r="D106" s="190" t="s">
        <v>598</v>
      </c>
      <c r="E106" s="190"/>
      <c r="F106" s="190"/>
      <c r="G106" s="270"/>
      <c r="H106" s="190"/>
      <c r="I106" s="190"/>
      <c r="J106" s="190"/>
      <c r="K106" s="259"/>
    </row>
    <row r="107" spans="1:11">
      <c r="A107" s="269"/>
      <c r="B107" s="270"/>
      <c r="C107" s="190"/>
      <c r="D107" s="190"/>
      <c r="E107" s="190"/>
      <c r="F107" s="190"/>
      <c r="G107" s="190"/>
      <c r="H107" s="190"/>
      <c r="I107" s="190"/>
      <c r="J107" s="190"/>
      <c r="K107" s="259"/>
    </row>
    <row r="108" spans="1:11">
      <c r="A108" s="269"/>
      <c r="B108" s="270"/>
      <c r="C108" s="190"/>
      <c r="D108" s="190"/>
      <c r="E108" s="190"/>
      <c r="F108" s="190"/>
      <c r="G108" s="190"/>
      <c r="H108" s="190"/>
      <c r="I108" s="190"/>
      <c r="J108" s="190"/>
      <c r="K108" s="259"/>
    </row>
    <row r="109" spans="1:11">
      <c r="A109" s="268">
        <v>1</v>
      </c>
      <c r="B109" s="212" t="s">
        <v>599</v>
      </c>
      <c r="C109" s="190"/>
      <c r="D109" s="190"/>
      <c r="E109" s="190"/>
      <c r="F109" s="190"/>
      <c r="G109" s="190"/>
      <c r="H109" s="190"/>
      <c r="I109" s="190"/>
      <c r="J109" s="190"/>
      <c r="K109" s="259"/>
    </row>
    <row r="110" spans="1:11">
      <c r="A110" s="268"/>
      <c r="B110" s="276" t="s">
        <v>647</v>
      </c>
      <c r="C110" s="190"/>
      <c r="D110" s="190"/>
      <c r="E110" s="190"/>
      <c r="F110" s="190"/>
      <c r="G110" s="190"/>
      <c r="H110" s="190"/>
      <c r="I110" s="190"/>
      <c r="J110" s="190"/>
      <c r="K110" s="259"/>
    </row>
    <row r="111" spans="1:11">
      <c r="A111" s="268"/>
      <c r="B111" s="276"/>
      <c r="C111" s="190"/>
      <c r="D111" s="190"/>
      <c r="E111" s="190"/>
      <c r="F111" s="190"/>
      <c r="G111" s="190"/>
      <c r="H111" s="190"/>
      <c r="I111" s="190"/>
      <c r="J111" s="190"/>
      <c r="K111" s="259"/>
    </row>
    <row r="112" spans="1:11">
      <c r="A112" s="268"/>
      <c r="B112" s="278" t="s">
        <v>600</v>
      </c>
      <c r="C112" s="279">
        <f>ROUND(C106,0)</f>
        <v>71</v>
      </c>
      <c r="D112" s="190" t="s">
        <v>519</v>
      </c>
      <c r="E112" s="280" t="s">
        <v>648</v>
      </c>
      <c r="F112" s="190"/>
      <c r="G112" s="190"/>
      <c r="H112" s="190"/>
      <c r="I112" s="190"/>
      <c r="J112" s="190"/>
      <c r="K112" s="259"/>
    </row>
    <row r="113" spans="1:11">
      <c r="A113" s="268"/>
      <c r="B113" s="270" t="s">
        <v>602</v>
      </c>
      <c r="C113" s="271">
        <v>4</v>
      </c>
      <c r="D113" s="190"/>
      <c r="E113" s="190"/>
      <c r="F113" s="190"/>
      <c r="G113" s="190"/>
      <c r="H113" s="190"/>
      <c r="I113" s="190"/>
      <c r="J113" s="190"/>
      <c r="K113" s="259"/>
    </row>
    <row r="114" spans="1:11">
      <c r="A114" s="268"/>
      <c r="B114" s="270" t="s">
        <v>603</v>
      </c>
      <c r="C114" s="271">
        <v>3</v>
      </c>
      <c r="D114" s="190"/>
      <c r="E114" s="190"/>
      <c r="F114" s="190"/>
      <c r="G114" s="190"/>
      <c r="H114" s="190"/>
      <c r="I114" s="190"/>
      <c r="J114" s="190"/>
      <c r="K114" s="259"/>
    </row>
    <row r="115" spans="1:11">
      <c r="A115" s="268"/>
      <c r="B115" s="270" t="s">
        <v>317</v>
      </c>
      <c r="C115" s="271">
        <v>1488</v>
      </c>
      <c r="D115" s="190" t="s">
        <v>519</v>
      </c>
      <c r="E115" s="190"/>
      <c r="F115" s="190"/>
      <c r="G115" s="190"/>
      <c r="H115" s="190"/>
      <c r="I115" s="190"/>
      <c r="J115" s="190"/>
      <c r="K115" s="259"/>
    </row>
    <row r="116" spans="1:11">
      <c r="A116" s="268"/>
      <c r="B116" s="270" t="s">
        <v>604</v>
      </c>
      <c r="C116" s="190">
        <f>C112*C113</f>
        <v>284</v>
      </c>
      <c r="D116" s="190" t="s">
        <v>519</v>
      </c>
      <c r="E116" s="190"/>
      <c r="F116" s="190"/>
      <c r="G116" s="190"/>
      <c r="H116" s="190"/>
      <c r="I116" s="190"/>
      <c r="J116" s="190"/>
      <c r="K116" s="259"/>
    </row>
    <row r="117" spans="1:11">
      <c r="A117" s="268"/>
      <c r="B117" s="270" t="s">
        <v>605</v>
      </c>
      <c r="C117" s="190">
        <f>C115-C116</f>
        <v>1204</v>
      </c>
      <c r="D117" s="190" t="s">
        <v>519</v>
      </c>
      <c r="E117" s="190"/>
      <c r="F117" s="190"/>
      <c r="G117" s="190"/>
      <c r="H117" s="190"/>
      <c r="I117" s="190"/>
      <c r="J117" s="190"/>
      <c r="K117" s="259"/>
    </row>
    <row r="118" spans="1:11">
      <c r="A118" s="268"/>
      <c r="B118" s="270" t="s">
        <v>606</v>
      </c>
      <c r="C118" s="281">
        <f>C117/C114</f>
        <v>401.33333333333331</v>
      </c>
      <c r="D118" s="190" t="s">
        <v>519</v>
      </c>
      <c r="E118" s="190"/>
      <c r="F118" s="190"/>
      <c r="G118" s="190"/>
      <c r="H118" s="190"/>
      <c r="I118" s="190"/>
      <c r="J118" s="190"/>
      <c r="K118" s="259"/>
    </row>
    <row r="119" spans="1:11">
      <c r="A119" s="282"/>
      <c r="B119" s="274"/>
      <c r="C119" s="283"/>
      <c r="D119" s="262"/>
      <c r="E119" s="262"/>
      <c r="F119" s="262"/>
      <c r="G119" s="262"/>
      <c r="H119" s="262"/>
      <c r="I119" s="262"/>
      <c r="J119" s="262"/>
      <c r="K119" s="263"/>
    </row>
    <row r="120" spans="1:11">
      <c r="A120" s="248"/>
      <c r="C120" s="247"/>
    </row>
    <row r="121" spans="1:11">
      <c r="A121" s="248"/>
    </row>
    <row r="122" spans="1:11">
      <c r="A122" s="264"/>
      <c r="B122" s="265"/>
      <c r="C122" s="266"/>
      <c r="D122" s="266"/>
      <c r="E122" s="266"/>
      <c r="F122" s="266"/>
      <c r="G122" s="266"/>
      <c r="H122" s="266"/>
      <c r="I122" s="266"/>
      <c r="J122" s="266"/>
      <c r="K122" s="267"/>
    </row>
    <row r="123" spans="1:11">
      <c r="A123" s="268">
        <v>2</v>
      </c>
      <c r="B123" s="212" t="s">
        <v>607</v>
      </c>
      <c r="C123" s="190"/>
      <c r="D123" s="190"/>
      <c r="E123" s="190"/>
      <c r="F123" s="190"/>
      <c r="G123" s="190"/>
      <c r="H123" s="190"/>
      <c r="I123" s="190"/>
      <c r="J123" s="190"/>
      <c r="K123" s="259"/>
    </row>
    <row r="124" spans="1:11">
      <c r="A124" s="269"/>
      <c r="B124" s="212" t="s">
        <v>608</v>
      </c>
      <c r="C124" s="190"/>
      <c r="D124" s="190"/>
      <c r="E124" s="190"/>
      <c r="F124" s="190"/>
      <c r="G124" s="190"/>
      <c r="H124" s="190"/>
      <c r="I124" s="190"/>
      <c r="J124" s="190"/>
      <c r="K124" s="259"/>
    </row>
    <row r="125" spans="1:11">
      <c r="A125" s="269"/>
      <c r="B125" s="270"/>
      <c r="C125" s="190"/>
      <c r="D125" s="190"/>
      <c r="E125" s="190"/>
      <c r="F125" s="190"/>
      <c r="G125" s="190"/>
      <c r="H125" s="190"/>
      <c r="I125" s="190"/>
      <c r="J125" s="190"/>
      <c r="K125" s="259"/>
    </row>
    <row r="126" spans="1:11">
      <c r="A126" s="269"/>
      <c r="B126" s="270" t="s">
        <v>609</v>
      </c>
      <c r="C126" s="271">
        <v>400</v>
      </c>
      <c r="D126" s="190" t="s">
        <v>519</v>
      </c>
      <c r="E126" s="190" t="s">
        <v>601</v>
      </c>
      <c r="F126" s="190"/>
      <c r="G126" s="190"/>
      <c r="H126" s="190"/>
      <c r="I126" s="190"/>
      <c r="J126" s="190"/>
      <c r="K126" s="259"/>
    </row>
    <row r="127" spans="1:11">
      <c r="A127" s="269"/>
      <c r="B127" s="270" t="s">
        <v>603</v>
      </c>
      <c r="C127" s="271">
        <v>3</v>
      </c>
      <c r="D127" s="190"/>
      <c r="E127" s="190"/>
      <c r="F127" s="190"/>
      <c r="G127" s="190"/>
      <c r="H127" s="190"/>
      <c r="I127" s="190"/>
      <c r="J127" s="190"/>
      <c r="K127" s="259"/>
    </row>
    <row r="128" spans="1:11">
      <c r="A128" s="269"/>
      <c r="B128" s="270" t="s">
        <v>317</v>
      </c>
      <c r="C128" s="271">
        <v>1488</v>
      </c>
      <c r="D128" s="190" t="s">
        <v>519</v>
      </c>
      <c r="E128" s="190"/>
      <c r="F128" s="190"/>
      <c r="G128" s="190"/>
      <c r="H128" s="190"/>
      <c r="I128" s="190"/>
      <c r="J128" s="190"/>
      <c r="K128" s="259"/>
    </row>
    <row r="129" spans="1:11">
      <c r="A129" s="269"/>
      <c r="B129" s="270" t="s">
        <v>590</v>
      </c>
      <c r="C129" s="271">
        <v>180</v>
      </c>
      <c r="D129" s="190" t="s">
        <v>591</v>
      </c>
      <c r="E129" s="190"/>
      <c r="F129" s="190"/>
      <c r="G129" s="190"/>
      <c r="H129" s="190"/>
      <c r="I129" s="190"/>
      <c r="J129" s="190"/>
      <c r="K129" s="259"/>
    </row>
    <row r="130" spans="1:11">
      <c r="A130" s="269"/>
      <c r="B130" s="270" t="s">
        <v>610</v>
      </c>
      <c r="C130" s="190">
        <f>C126*C127</f>
        <v>1200</v>
      </c>
      <c r="D130" s="190" t="s">
        <v>519</v>
      </c>
      <c r="E130" s="190"/>
      <c r="F130" s="190"/>
      <c r="G130" s="190"/>
      <c r="H130" s="190"/>
      <c r="I130" s="190"/>
      <c r="J130" s="190"/>
      <c r="K130" s="259"/>
    </row>
    <row r="131" spans="1:11">
      <c r="A131" s="269"/>
      <c r="B131" s="270" t="s">
        <v>611</v>
      </c>
      <c r="C131" s="190">
        <f>C128-C130</f>
        <v>288</v>
      </c>
      <c r="D131" s="190" t="s">
        <v>519</v>
      </c>
      <c r="E131" s="190"/>
      <c r="F131" s="190"/>
      <c r="G131" s="190"/>
      <c r="H131" s="190"/>
      <c r="I131" s="190"/>
      <c r="J131" s="190"/>
      <c r="K131" s="259"/>
    </row>
    <row r="132" spans="1:11">
      <c r="A132" s="269"/>
      <c r="B132" s="270" t="s">
        <v>612</v>
      </c>
      <c r="C132" s="190">
        <f>C127+1</f>
        <v>4</v>
      </c>
      <c r="D132" s="190"/>
      <c r="E132" s="190"/>
      <c r="F132" s="190"/>
      <c r="G132" s="190"/>
      <c r="H132" s="190"/>
      <c r="I132" s="190"/>
      <c r="J132" s="190"/>
      <c r="K132" s="259"/>
    </row>
    <row r="133" spans="1:11">
      <c r="A133" s="269"/>
      <c r="B133" s="270" t="s">
        <v>613</v>
      </c>
      <c r="C133" s="190">
        <f>C131/C132</f>
        <v>72</v>
      </c>
      <c r="D133" s="190" t="s">
        <v>519</v>
      </c>
      <c r="E133" s="190"/>
      <c r="F133" s="190"/>
      <c r="G133" s="190"/>
      <c r="H133" s="190"/>
      <c r="I133" s="190"/>
      <c r="J133" s="190"/>
      <c r="K133" s="259"/>
    </row>
    <row r="134" spans="1:11">
      <c r="A134" s="269"/>
      <c r="B134" s="270" t="s">
        <v>613</v>
      </c>
      <c r="C134" s="272">
        <f>25.4*C133/C129</f>
        <v>10.16</v>
      </c>
      <c r="D134" s="190" t="s">
        <v>344</v>
      </c>
      <c r="E134" s="190"/>
      <c r="F134" s="190"/>
      <c r="G134" s="190"/>
      <c r="H134" s="190"/>
      <c r="I134" s="190"/>
      <c r="J134" s="190"/>
      <c r="K134" s="259"/>
    </row>
    <row r="135" spans="1:11">
      <c r="A135" s="269"/>
      <c r="B135" s="270"/>
      <c r="C135" s="190"/>
      <c r="D135" s="190"/>
      <c r="E135" s="190"/>
      <c r="F135" s="190"/>
      <c r="G135" s="190"/>
      <c r="H135" s="190"/>
      <c r="I135" s="190"/>
      <c r="J135" s="190"/>
      <c r="K135" s="259"/>
    </row>
    <row r="136" spans="1:11">
      <c r="A136" s="269"/>
      <c r="B136" s="270"/>
      <c r="C136" s="190"/>
      <c r="D136" s="190"/>
      <c r="E136" s="190"/>
      <c r="F136" s="190"/>
      <c r="G136" s="190"/>
      <c r="H136" s="190"/>
      <c r="I136" s="190"/>
      <c r="J136" s="190"/>
      <c r="K136" s="259"/>
    </row>
    <row r="137" spans="1:11">
      <c r="A137" s="269"/>
      <c r="B137" s="212" t="s">
        <v>614</v>
      </c>
      <c r="C137" s="190"/>
      <c r="D137" s="190"/>
      <c r="E137" s="190"/>
      <c r="F137" s="190"/>
      <c r="G137" s="190"/>
      <c r="H137" s="190"/>
      <c r="I137" s="190"/>
      <c r="J137" s="190"/>
      <c r="K137" s="259"/>
    </row>
    <row r="138" spans="1:11">
      <c r="A138" s="269"/>
      <c r="B138" s="270"/>
      <c r="C138" s="190"/>
      <c r="D138" s="190"/>
      <c r="E138" s="190"/>
      <c r="F138" s="190"/>
      <c r="G138" s="190"/>
      <c r="H138" s="190"/>
      <c r="I138" s="190"/>
      <c r="J138" s="190"/>
      <c r="K138" s="259"/>
    </row>
    <row r="139" spans="1:11">
      <c r="A139" s="269"/>
      <c r="B139" s="270" t="s">
        <v>615</v>
      </c>
      <c r="C139" s="190">
        <f t="shared" ref="C139:C144" si="6">C$133</f>
        <v>72</v>
      </c>
      <c r="D139" s="190"/>
      <c r="E139" s="190"/>
      <c r="F139" s="190"/>
      <c r="G139" s="190"/>
      <c r="H139" s="190"/>
      <c r="I139" s="190"/>
      <c r="J139" s="249">
        <f t="shared" ref="J139:J144" si="7">SUM(C139:H139)</f>
        <v>72</v>
      </c>
      <c r="K139" s="259"/>
    </row>
    <row r="140" spans="1:11">
      <c r="A140" s="269"/>
      <c r="B140" s="270" t="s">
        <v>616</v>
      </c>
      <c r="C140" s="190">
        <f t="shared" si="6"/>
        <v>72</v>
      </c>
      <c r="D140" s="190">
        <f>C$126</f>
        <v>400</v>
      </c>
      <c r="E140" s="190"/>
      <c r="F140" s="190"/>
      <c r="G140" s="190"/>
      <c r="H140" s="190"/>
      <c r="I140" s="190"/>
      <c r="J140" s="250">
        <f t="shared" si="7"/>
        <v>472</v>
      </c>
      <c r="K140" s="259"/>
    </row>
    <row r="141" spans="1:11">
      <c r="A141" s="269"/>
      <c r="B141" s="270" t="s">
        <v>617</v>
      </c>
      <c r="C141" s="190">
        <f t="shared" si="6"/>
        <v>72</v>
      </c>
      <c r="D141" s="190">
        <f>C$126</f>
        <v>400</v>
      </c>
      <c r="E141" s="190">
        <f>C$133</f>
        <v>72</v>
      </c>
      <c r="F141" s="190"/>
      <c r="G141" s="190"/>
      <c r="H141" s="190"/>
      <c r="I141" s="190"/>
      <c r="J141" s="250">
        <f t="shared" si="7"/>
        <v>544</v>
      </c>
      <c r="K141" s="259"/>
    </row>
    <row r="142" spans="1:11">
      <c r="A142" s="269"/>
      <c r="B142" s="270" t="s">
        <v>618</v>
      </c>
      <c r="C142" s="190">
        <f t="shared" si="6"/>
        <v>72</v>
      </c>
      <c r="D142" s="190">
        <f>C$126</f>
        <v>400</v>
      </c>
      <c r="E142" s="190">
        <f>C$133</f>
        <v>72</v>
      </c>
      <c r="F142" s="190">
        <f>C$126</f>
        <v>400</v>
      </c>
      <c r="G142" s="190"/>
      <c r="H142" s="190"/>
      <c r="I142" s="190"/>
      <c r="J142" s="250">
        <f t="shared" si="7"/>
        <v>944</v>
      </c>
      <c r="K142" s="259"/>
    </row>
    <row r="143" spans="1:11">
      <c r="A143" s="269"/>
      <c r="B143" s="270" t="s">
        <v>619</v>
      </c>
      <c r="C143" s="190">
        <f t="shared" si="6"/>
        <v>72</v>
      </c>
      <c r="D143" s="190">
        <f>C$126</f>
        <v>400</v>
      </c>
      <c r="E143" s="190">
        <f>C$133</f>
        <v>72</v>
      </c>
      <c r="F143" s="190">
        <f>C$126</f>
        <v>400</v>
      </c>
      <c r="G143" s="190">
        <f>C$133</f>
        <v>72</v>
      </c>
      <c r="H143" s="190"/>
      <c r="I143" s="190"/>
      <c r="J143" s="250">
        <f t="shared" si="7"/>
        <v>1016</v>
      </c>
      <c r="K143" s="259"/>
    </row>
    <row r="144" spans="1:11">
      <c r="A144" s="269"/>
      <c r="B144" s="270" t="s">
        <v>620</v>
      </c>
      <c r="C144" s="190">
        <f t="shared" si="6"/>
        <v>72</v>
      </c>
      <c r="D144" s="190">
        <f>C$126</f>
        <v>400</v>
      </c>
      <c r="E144" s="190">
        <f>C$133</f>
        <v>72</v>
      </c>
      <c r="F144" s="190">
        <f>C$126</f>
        <v>400</v>
      </c>
      <c r="G144" s="190">
        <f>C$133</f>
        <v>72</v>
      </c>
      <c r="H144" s="190">
        <f>C126</f>
        <v>400</v>
      </c>
      <c r="I144" s="190"/>
      <c r="J144" s="251">
        <f t="shared" si="7"/>
        <v>1416</v>
      </c>
      <c r="K144" s="259"/>
    </row>
    <row r="145" spans="1:11">
      <c r="A145" s="269"/>
      <c r="B145" s="270"/>
      <c r="C145" s="190"/>
      <c r="D145" s="190"/>
      <c r="E145" s="190"/>
      <c r="F145" s="190"/>
      <c r="G145" s="190"/>
      <c r="H145" s="190"/>
      <c r="I145" s="190"/>
      <c r="J145" s="190"/>
      <c r="K145" s="259"/>
    </row>
    <row r="146" spans="1:11">
      <c r="A146" s="269"/>
      <c r="B146" s="270"/>
      <c r="C146" s="190"/>
      <c r="D146" s="190"/>
      <c r="E146" s="190"/>
      <c r="F146" s="190"/>
      <c r="G146" s="190"/>
      <c r="H146" s="190"/>
      <c r="I146" s="190"/>
      <c r="J146" s="190"/>
      <c r="K146" s="259"/>
    </row>
    <row r="147" spans="1:11">
      <c r="A147" s="269"/>
      <c r="B147" s="212" t="s">
        <v>621</v>
      </c>
      <c r="C147" s="190"/>
      <c r="D147" s="190"/>
      <c r="E147" s="190"/>
      <c r="F147" s="190"/>
      <c r="G147" s="190"/>
      <c r="H147" s="190"/>
      <c r="I147" s="190"/>
      <c r="J147" s="190"/>
      <c r="K147" s="259"/>
    </row>
    <row r="148" spans="1:11">
      <c r="A148" s="269"/>
      <c r="B148" s="270"/>
      <c r="C148" s="190"/>
      <c r="D148" s="190"/>
      <c r="E148" s="190"/>
      <c r="F148" s="190"/>
      <c r="G148" s="190"/>
      <c r="H148" s="190"/>
      <c r="I148" s="190"/>
      <c r="J148" s="190"/>
      <c r="K148" s="259"/>
    </row>
    <row r="149" spans="1:11">
      <c r="A149" s="269"/>
      <c r="B149" s="270" t="s">
        <v>615</v>
      </c>
      <c r="C149" s="190">
        <f>$C$133*2</f>
        <v>144</v>
      </c>
      <c r="D149" s="190"/>
      <c r="E149" s="190"/>
      <c r="F149" s="190"/>
      <c r="G149" s="190"/>
      <c r="H149" s="190"/>
      <c r="I149" s="190"/>
      <c r="J149" s="249">
        <f t="shared" ref="J149:J154" si="8">SUM(C149:H149)</f>
        <v>144</v>
      </c>
      <c r="K149" s="259"/>
    </row>
    <row r="150" spans="1:11">
      <c r="A150" s="269"/>
      <c r="B150" s="270" t="s">
        <v>616</v>
      </c>
      <c r="C150" s="190">
        <f>C$133*2</f>
        <v>144</v>
      </c>
      <c r="D150" s="190">
        <f>C$126</f>
        <v>400</v>
      </c>
      <c r="E150" s="190"/>
      <c r="F150" s="190"/>
      <c r="G150" s="190"/>
      <c r="H150" s="190"/>
      <c r="I150" s="190"/>
      <c r="J150" s="250">
        <f t="shared" si="8"/>
        <v>544</v>
      </c>
      <c r="K150" s="259"/>
    </row>
    <row r="151" spans="1:11">
      <c r="A151" s="269"/>
      <c r="B151" s="270" t="s">
        <v>617</v>
      </c>
      <c r="C151" s="190">
        <f>C$133*2</f>
        <v>144</v>
      </c>
      <c r="D151" s="190">
        <f>C$126</f>
        <v>400</v>
      </c>
      <c r="E151" s="190">
        <f>$C$133*2</f>
        <v>144</v>
      </c>
      <c r="F151" s="190"/>
      <c r="G151" s="190"/>
      <c r="H151" s="190"/>
      <c r="I151" s="190"/>
      <c r="J151" s="250">
        <f t="shared" si="8"/>
        <v>688</v>
      </c>
      <c r="K151" s="259"/>
    </row>
    <row r="152" spans="1:11">
      <c r="A152" s="269"/>
      <c r="B152" s="270" t="s">
        <v>618</v>
      </c>
      <c r="C152" s="190">
        <f>C$133*2</f>
        <v>144</v>
      </c>
      <c r="D152" s="190">
        <f>C$126</f>
        <v>400</v>
      </c>
      <c r="E152" s="190">
        <f>$C$133*2</f>
        <v>144</v>
      </c>
      <c r="F152" s="190">
        <f>C$126</f>
        <v>400</v>
      </c>
      <c r="G152" s="190"/>
      <c r="H152" s="190"/>
      <c r="I152" s="190"/>
      <c r="J152" s="250">
        <f t="shared" si="8"/>
        <v>1088</v>
      </c>
      <c r="K152" s="259"/>
    </row>
    <row r="153" spans="1:11">
      <c r="A153" s="269"/>
      <c r="B153" s="270" t="s">
        <v>619</v>
      </c>
      <c r="C153" s="190">
        <f>C$133*2</f>
        <v>144</v>
      </c>
      <c r="D153" s="190">
        <f>C$126</f>
        <v>400</v>
      </c>
      <c r="E153" s="190">
        <f>$C$133*2</f>
        <v>144</v>
      </c>
      <c r="F153" s="190">
        <f>C$126</f>
        <v>400</v>
      </c>
      <c r="G153" s="190">
        <f>$C$133*2</f>
        <v>144</v>
      </c>
      <c r="H153" s="190"/>
      <c r="I153" s="190"/>
      <c r="J153" s="250">
        <f t="shared" si="8"/>
        <v>1232</v>
      </c>
      <c r="K153" s="259"/>
    </row>
    <row r="154" spans="1:11">
      <c r="A154" s="269"/>
      <c r="B154" s="270" t="s">
        <v>620</v>
      </c>
      <c r="C154" s="190">
        <f>C$133*2</f>
        <v>144</v>
      </c>
      <c r="D154" s="190">
        <f>C$126</f>
        <v>400</v>
      </c>
      <c r="E154" s="190">
        <f>$C$133*2</f>
        <v>144</v>
      </c>
      <c r="F154" s="190">
        <f>$C$126</f>
        <v>400</v>
      </c>
      <c r="G154" s="190">
        <f>$C$133*2</f>
        <v>144</v>
      </c>
      <c r="H154" s="190">
        <f>$C$126</f>
        <v>400</v>
      </c>
      <c r="I154" s="190"/>
      <c r="J154" s="251">
        <f t="shared" si="8"/>
        <v>1632</v>
      </c>
      <c r="K154" s="259"/>
    </row>
    <row r="155" spans="1:11">
      <c r="A155" s="273"/>
      <c r="B155" s="274"/>
      <c r="C155" s="262"/>
      <c r="D155" s="262"/>
      <c r="E155" s="262"/>
      <c r="F155" s="262"/>
      <c r="G155" s="262"/>
      <c r="H155" s="262"/>
      <c r="I155" s="262"/>
      <c r="J155" s="262"/>
      <c r="K155" s="263"/>
    </row>
    <row r="168" spans="2:9">
      <c r="B168" t="s">
        <v>649</v>
      </c>
      <c r="C168"/>
      <c r="D168"/>
      <c r="E168"/>
      <c r="F168"/>
      <c r="G168"/>
      <c r="H168"/>
      <c r="I168"/>
    </row>
    <row r="169" spans="2:9">
      <c r="B169"/>
      <c r="C169"/>
      <c r="D169"/>
      <c r="E169"/>
      <c r="F169"/>
      <c r="G169"/>
      <c r="H169"/>
      <c r="I169"/>
    </row>
    <row r="170" spans="2:9">
      <c r="B170" t="s">
        <v>622</v>
      </c>
      <c r="C170"/>
      <c r="D170"/>
      <c r="E170"/>
      <c r="F170"/>
      <c r="G170"/>
      <c r="H170"/>
      <c r="I170"/>
    </row>
    <row r="171" spans="2:9">
      <c r="B171" t="s">
        <v>623</v>
      </c>
      <c r="C171"/>
      <c r="D171"/>
      <c r="E171"/>
      <c r="F171"/>
      <c r="G171"/>
      <c r="H171"/>
      <c r="I171"/>
    </row>
    <row r="172" spans="2:9">
      <c r="B172" t="s">
        <v>624</v>
      </c>
      <c r="C172"/>
      <c r="D172"/>
      <c r="E172"/>
      <c r="F172"/>
      <c r="G172"/>
      <c r="H172"/>
      <c r="I172"/>
    </row>
    <row r="173" spans="2:9">
      <c r="B173" t="s">
        <v>625</v>
      </c>
      <c r="C173"/>
      <c r="D173"/>
      <c r="E173"/>
      <c r="F173"/>
      <c r="G173"/>
      <c r="H173"/>
      <c r="I173"/>
    </row>
    <row r="174" spans="2:9">
      <c r="B174" t="s">
        <v>626</v>
      </c>
      <c r="C174"/>
      <c r="D174"/>
      <c r="E174"/>
      <c r="F174"/>
      <c r="G174"/>
      <c r="H174"/>
      <c r="I174"/>
    </row>
    <row r="175" spans="2:9">
      <c r="B175" t="s">
        <v>627</v>
      </c>
      <c r="C175"/>
      <c r="D175"/>
      <c r="E175"/>
      <c r="F175"/>
      <c r="G175"/>
      <c r="H175"/>
      <c r="I175"/>
    </row>
    <row r="176" spans="2:9">
      <c r="B176" t="s">
        <v>628</v>
      </c>
      <c r="C176"/>
      <c r="D176"/>
      <c r="E176"/>
      <c r="F176"/>
      <c r="G176"/>
      <c r="H176"/>
      <c r="I176"/>
    </row>
    <row r="177" spans="2:9">
      <c r="B177" t="s">
        <v>629</v>
      </c>
      <c r="C177"/>
      <c r="D177"/>
      <c r="E177"/>
      <c r="F177"/>
      <c r="G177"/>
      <c r="H177"/>
      <c r="I177"/>
    </row>
    <row r="178" spans="2:9">
      <c r="B178"/>
      <c r="C178"/>
      <c r="D178"/>
      <c r="E178"/>
      <c r="F178"/>
      <c r="G178"/>
      <c r="H178"/>
      <c r="I178"/>
    </row>
    <row r="179" spans="2:9">
      <c r="B179"/>
      <c r="C179"/>
      <c r="D179"/>
      <c r="E179"/>
      <c r="F179"/>
      <c r="G179"/>
      <c r="H179"/>
      <c r="I179"/>
    </row>
    <row r="180" spans="2:9">
      <c r="B180" s="56" t="s">
        <v>630</v>
      </c>
      <c r="C180" s="235">
        <v>200</v>
      </c>
      <c r="D180" t="s">
        <v>591</v>
      </c>
      <c r="E180"/>
      <c r="F180"/>
      <c r="G180"/>
      <c r="H180"/>
      <c r="I180"/>
    </row>
    <row r="181" spans="2:9">
      <c r="B181" s="56" t="s">
        <v>631</v>
      </c>
      <c r="C181" s="235">
        <v>3</v>
      </c>
      <c r="D181"/>
      <c r="E181"/>
      <c r="F181"/>
      <c r="G181"/>
      <c r="H181"/>
      <c r="I181"/>
    </row>
    <row r="182" spans="2:9">
      <c r="B182" s="56" t="s">
        <v>632</v>
      </c>
      <c r="C182" s="235">
        <v>3</v>
      </c>
      <c r="D182"/>
      <c r="E182"/>
      <c r="F182"/>
      <c r="G182"/>
      <c r="H182"/>
      <c r="I182"/>
    </row>
    <row r="183" spans="2:9">
      <c r="B183" s="56" t="s">
        <v>633</v>
      </c>
      <c r="C183" s="235">
        <v>30</v>
      </c>
      <c r="D183" t="s">
        <v>212</v>
      </c>
      <c r="E183"/>
      <c r="F183"/>
      <c r="G183"/>
      <c r="H183"/>
      <c r="I183"/>
    </row>
    <row r="184" spans="2:9">
      <c r="B184" s="56" t="s">
        <v>634</v>
      </c>
      <c r="C184" s="235">
        <v>40</v>
      </c>
      <c r="D184" t="s">
        <v>212</v>
      </c>
      <c r="E184"/>
      <c r="F184"/>
      <c r="G184"/>
      <c r="H184"/>
      <c r="I184"/>
    </row>
    <row r="185" spans="2:9">
      <c r="B185" s="56" t="s">
        <v>635</v>
      </c>
      <c r="C185" s="235">
        <v>1.5</v>
      </c>
      <c r="D185"/>
      <c r="E185"/>
      <c r="F185"/>
      <c r="G185"/>
      <c r="H185"/>
      <c r="I185"/>
    </row>
    <row r="186" spans="2:9">
      <c r="B186" s="56" t="s">
        <v>636</v>
      </c>
      <c r="C186" s="216">
        <v>2.54</v>
      </c>
      <c r="D186"/>
      <c r="E186"/>
      <c r="F186"/>
      <c r="G186"/>
      <c r="H186"/>
      <c r="I186"/>
    </row>
    <row r="187" spans="2:9">
      <c r="B187" s="56" t="s">
        <v>520</v>
      </c>
      <c r="C187" s="235">
        <v>8</v>
      </c>
      <c r="D187" t="s">
        <v>212</v>
      </c>
      <c r="E187"/>
      <c r="F187"/>
      <c r="G187"/>
      <c r="H187"/>
      <c r="I187"/>
    </row>
    <row r="188" spans="2:9">
      <c r="B188" s="56" t="s">
        <v>526</v>
      </c>
      <c r="C188">
        <f>C187*C185</f>
        <v>12</v>
      </c>
      <c r="D188" t="s">
        <v>212</v>
      </c>
      <c r="E188"/>
      <c r="F188"/>
      <c r="G188"/>
      <c r="H188"/>
      <c r="I188"/>
    </row>
    <row r="189" spans="2:9">
      <c r="B189" s="56"/>
      <c r="C189"/>
      <c r="D189"/>
      <c r="E189"/>
      <c r="F189"/>
      <c r="G189"/>
      <c r="H189"/>
      <c r="I189"/>
    </row>
    <row r="190" spans="2:9">
      <c r="B190" s="56" t="s">
        <v>633</v>
      </c>
      <c r="C190" s="58">
        <f>C183/C186</f>
        <v>11.811023622047244</v>
      </c>
      <c r="D190" t="s">
        <v>637</v>
      </c>
      <c r="E190"/>
      <c r="F190"/>
      <c r="G190"/>
      <c r="H190"/>
      <c r="I190"/>
    </row>
    <row r="191" spans="2:9">
      <c r="B191" s="56" t="s">
        <v>634</v>
      </c>
      <c r="C191" s="58">
        <f>C184/C186</f>
        <v>15.748031496062993</v>
      </c>
      <c r="D191" t="s">
        <v>637</v>
      </c>
      <c r="E191"/>
      <c r="F191"/>
      <c r="G191"/>
      <c r="H191"/>
      <c r="I191"/>
    </row>
    <row r="192" spans="2:9">
      <c r="B192" s="56" t="s">
        <v>520</v>
      </c>
      <c r="C192" s="58">
        <f>C187/C186</f>
        <v>3.1496062992125982</v>
      </c>
      <c r="D192" t="s">
        <v>637</v>
      </c>
      <c r="E192"/>
      <c r="F192"/>
      <c r="G192"/>
      <c r="H192"/>
      <c r="I192"/>
    </row>
    <row r="193" spans="2:9">
      <c r="B193" s="56" t="s">
        <v>526</v>
      </c>
      <c r="C193" s="58">
        <f>C188/C186</f>
        <v>4.7244094488188972</v>
      </c>
      <c r="D193" t="s">
        <v>637</v>
      </c>
      <c r="E193"/>
      <c r="F193"/>
      <c r="G193"/>
      <c r="H193"/>
      <c r="I193"/>
    </row>
    <row r="194" spans="2:9">
      <c r="B194"/>
      <c r="C194"/>
      <c r="D194"/>
      <c r="E194"/>
      <c r="F194"/>
      <c r="G194"/>
      <c r="H194"/>
      <c r="I194"/>
    </row>
    <row r="195" spans="2:9">
      <c r="B195" s="56" t="s">
        <v>633</v>
      </c>
      <c r="C195">
        <f>ROUND(C180*C190,0)</f>
        <v>2362</v>
      </c>
      <c r="D195" t="s">
        <v>519</v>
      </c>
      <c r="E195"/>
      <c r="F195"/>
      <c r="G195"/>
      <c r="H195"/>
      <c r="I195"/>
    </row>
    <row r="196" spans="2:9">
      <c r="B196" s="56" t="s">
        <v>634</v>
      </c>
      <c r="C196">
        <f>ROUND(C180*C191,0)</f>
        <v>3150</v>
      </c>
      <c r="D196" t="s">
        <v>519</v>
      </c>
      <c r="E196"/>
      <c r="F196"/>
      <c r="G196"/>
      <c r="H196"/>
      <c r="I196"/>
    </row>
    <row r="197" spans="2:9">
      <c r="B197" s="56" t="s">
        <v>520</v>
      </c>
      <c r="C197">
        <f>ROUND(C180*C192,0)</f>
        <v>630</v>
      </c>
      <c r="D197" t="s">
        <v>519</v>
      </c>
      <c r="E197"/>
      <c r="F197"/>
      <c r="G197"/>
      <c r="H197"/>
      <c r="I197"/>
    </row>
    <row r="198" spans="2:9">
      <c r="B198" s="56" t="s">
        <v>526</v>
      </c>
      <c r="C198">
        <f>ROUND(C180*C193,0)</f>
        <v>945</v>
      </c>
      <c r="D198" t="s">
        <v>519</v>
      </c>
      <c r="E198"/>
      <c r="F198"/>
      <c r="G198"/>
      <c r="H198"/>
      <c r="I198"/>
    </row>
    <row r="199" spans="2:9">
      <c r="B199"/>
      <c r="C199"/>
      <c r="D199"/>
      <c r="E199"/>
      <c r="F199"/>
      <c r="G199"/>
      <c r="H199"/>
      <c r="I199"/>
    </row>
    <row r="200" spans="2:9">
      <c r="B200" s="56" t="s">
        <v>638</v>
      </c>
      <c r="C200">
        <f>C197*C181</f>
        <v>1890</v>
      </c>
      <c r="D200" t="s">
        <v>519</v>
      </c>
      <c r="E200"/>
      <c r="F200"/>
      <c r="G200"/>
      <c r="H200"/>
      <c r="I200"/>
    </row>
    <row r="201" spans="2:9">
      <c r="B201" s="56" t="s">
        <v>639</v>
      </c>
      <c r="C201">
        <f>C198*C182</f>
        <v>2835</v>
      </c>
      <c r="D201" t="s">
        <v>519</v>
      </c>
      <c r="E201"/>
      <c r="F201"/>
      <c r="G201"/>
      <c r="H201"/>
      <c r="I201"/>
    </row>
    <row r="202" spans="2:9">
      <c r="B202"/>
      <c r="C202"/>
      <c r="D202"/>
      <c r="E202"/>
      <c r="F202"/>
      <c r="G202"/>
      <c r="H202"/>
      <c r="I202"/>
    </row>
    <row r="203" spans="2:9">
      <c r="B203" s="56" t="s">
        <v>640</v>
      </c>
      <c r="C203"/>
      <c r="D203"/>
      <c r="E203"/>
      <c r="F203"/>
      <c r="G203"/>
      <c r="H203"/>
      <c r="I203"/>
    </row>
    <row r="204" spans="2:9">
      <c r="B204" s="56" t="s">
        <v>641</v>
      </c>
      <c r="C204">
        <f>C195-C200</f>
        <v>472</v>
      </c>
      <c r="D204" t="s">
        <v>519</v>
      </c>
      <c r="E204"/>
      <c r="F204"/>
      <c r="G204"/>
      <c r="H204"/>
      <c r="I204"/>
    </row>
    <row r="205" spans="2:9">
      <c r="B205" s="56" t="s">
        <v>642</v>
      </c>
      <c r="C205">
        <f>C196-C201</f>
        <v>315</v>
      </c>
      <c r="D205" t="s">
        <v>519</v>
      </c>
      <c r="E205"/>
      <c r="F205"/>
      <c r="G205"/>
      <c r="H205"/>
      <c r="I205"/>
    </row>
    <row r="206" spans="2:9">
      <c r="B206"/>
      <c r="C206"/>
      <c r="D206"/>
      <c r="E206"/>
      <c r="F206"/>
      <c r="G206"/>
      <c r="H206"/>
      <c r="I206"/>
    </row>
    <row r="207" spans="2:9">
      <c r="B207" s="56" t="s">
        <v>643</v>
      </c>
      <c r="C207"/>
      <c r="D207"/>
      <c r="E207"/>
      <c r="F207"/>
      <c r="G207"/>
      <c r="H207"/>
      <c r="I207"/>
    </row>
    <row r="208" spans="2:9">
      <c r="B208" s="56" t="s">
        <v>641</v>
      </c>
      <c r="C208">
        <f>C204/(C181+1)</f>
        <v>118</v>
      </c>
      <c r="D208" t="s">
        <v>519</v>
      </c>
      <c r="E208"/>
      <c r="F208"/>
      <c r="G208"/>
      <c r="H208"/>
      <c r="I208"/>
    </row>
    <row r="209" spans="2:9">
      <c r="B209" s="56" t="s">
        <v>642</v>
      </c>
      <c r="C209" s="252">
        <f>C205/(C182+1)</f>
        <v>78.75</v>
      </c>
      <c r="D209" t="s">
        <v>519</v>
      </c>
      <c r="E209"/>
      <c r="F209"/>
      <c r="G209"/>
      <c r="H209"/>
      <c r="I209"/>
    </row>
    <row r="210" spans="2:9">
      <c r="B210"/>
      <c r="C210"/>
      <c r="D210"/>
      <c r="E210"/>
      <c r="F210"/>
      <c r="G210"/>
      <c r="H210"/>
      <c r="I210"/>
    </row>
    <row r="211" spans="2:9">
      <c r="B211" s="253" t="s">
        <v>644</v>
      </c>
      <c r="C211">
        <f>C208</f>
        <v>118</v>
      </c>
      <c r="D211" t="s">
        <v>519</v>
      </c>
      <c r="E211"/>
      <c r="F211"/>
      <c r="G211"/>
      <c r="H211"/>
      <c r="I211"/>
    </row>
    <row r="212" spans="2:9">
      <c r="B212"/>
      <c r="C212">
        <f>C211+C197</f>
        <v>748</v>
      </c>
      <c r="D212" t="s">
        <v>519</v>
      </c>
      <c r="E212"/>
      <c r="F212"/>
      <c r="G212"/>
      <c r="H212"/>
      <c r="I212"/>
    </row>
    <row r="213" spans="2:9">
      <c r="B213"/>
      <c r="C213">
        <f>C212+C208</f>
        <v>866</v>
      </c>
      <c r="D213" t="s">
        <v>519</v>
      </c>
      <c r="E213"/>
      <c r="F213"/>
      <c r="G213"/>
      <c r="H213"/>
      <c r="I213"/>
    </row>
    <row r="214" spans="2:9">
      <c r="B214"/>
      <c r="C214">
        <f>C213+C197</f>
        <v>1496</v>
      </c>
      <c r="D214" t="s">
        <v>519</v>
      </c>
      <c r="E214"/>
      <c r="F214"/>
      <c r="G214"/>
      <c r="H214"/>
      <c r="I214"/>
    </row>
    <row r="215" spans="2:9">
      <c r="B215"/>
      <c r="C215">
        <f>C214+C208</f>
        <v>1614</v>
      </c>
      <c r="D215" t="s">
        <v>519</v>
      </c>
      <c r="E215"/>
      <c r="F215"/>
      <c r="G215"/>
      <c r="H215"/>
      <c r="I215"/>
    </row>
    <row r="216" spans="2:9">
      <c r="B216"/>
      <c r="C216">
        <f>C215+C197</f>
        <v>2244</v>
      </c>
      <c r="D216" t="s">
        <v>519</v>
      </c>
      <c r="E216"/>
      <c r="F216"/>
      <c r="G216"/>
      <c r="H216"/>
      <c r="I216"/>
    </row>
    <row r="217" spans="2:9">
      <c r="B217"/>
      <c r="C217">
        <f>C216+C208</f>
        <v>2362</v>
      </c>
      <c r="D217" t="s">
        <v>519</v>
      </c>
      <c r="E217"/>
      <c r="F217"/>
      <c r="G217"/>
      <c r="H217"/>
      <c r="I217"/>
    </row>
    <row r="218" spans="2:9">
      <c r="B218"/>
      <c r="C218"/>
      <c r="D218"/>
      <c r="E218"/>
      <c r="F218"/>
      <c r="G218"/>
      <c r="H218"/>
      <c r="I218"/>
    </row>
    <row r="219" spans="2:9">
      <c r="B219" s="254" t="s">
        <v>645</v>
      </c>
      <c r="C219" s="252">
        <f>C209</f>
        <v>78.75</v>
      </c>
      <c r="D219" t="s">
        <v>519</v>
      </c>
      <c r="E219"/>
      <c r="F219"/>
      <c r="G219"/>
      <c r="H219"/>
      <c r="I219"/>
    </row>
    <row r="220" spans="2:9">
      <c r="B220"/>
      <c r="C220" s="252">
        <f>C219+C198</f>
        <v>1023.75</v>
      </c>
      <c r="D220" t="s">
        <v>519</v>
      </c>
      <c r="E220"/>
      <c r="F220"/>
      <c r="G220"/>
      <c r="H220"/>
      <c r="I220"/>
    </row>
    <row r="221" spans="2:9">
      <c r="B221"/>
      <c r="C221" s="252">
        <f>C220+C209</f>
        <v>1102.5</v>
      </c>
      <c r="D221" t="s">
        <v>519</v>
      </c>
      <c r="E221"/>
      <c r="F221"/>
      <c r="G221"/>
      <c r="H221"/>
      <c r="I221"/>
    </row>
    <row r="222" spans="2:9">
      <c r="B222"/>
      <c r="C222" s="252">
        <f>C221+C198</f>
        <v>2047.5</v>
      </c>
      <c r="D222" t="s">
        <v>519</v>
      </c>
      <c r="E222"/>
      <c r="F222"/>
      <c r="G222"/>
      <c r="H222"/>
      <c r="I222"/>
    </row>
    <row r="223" spans="2:9">
      <c r="B223"/>
      <c r="C223" s="252">
        <f>C222+C209</f>
        <v>2126.25</v>
      </c>
      <c r="D223" t="s">
        <v>519</v>
      </c>
      <c r="E223"/>
      <c r="F223"/>
      <c r="G223"/>
      <c r="H223"/>
      <c r="I223"/>
    </row>
    <row r="224" spans="2:9">
      <c r="B224"/>
      <c r="C224" s="252">
        <f>C223+C198</f>
        <v>3071.25</v>
      </c>
      <c r="D224" t="s">
        <v>519</v>
      </c>
      <c r="E224"/>
      <c r="F224"/>
      <c r="G224"/>
      <c r="H224"/>
      <c r="I224"/>
    </row>
    <row r="225" spans="2:9">
      <c r="B225"/>
      <c r="C225" s="252">
        <f>C224+C209</f>
        <v>3150</v>
      </c>
      <c r="D225" t="s">
        <v>519</v>
      </c>
      <c r="E225"/>
      <c r="F225"/>
      <c r="G225"/>
      <c r="H225"/>
      <c r="I225"/>
    </row>
    <row r="226" spans="2:9">
      <c r="B226"/>
      <c r="C226"/>
      <c r="D226"/>
      <c r="E226"/>
      <c r="F226"/>
      <c r="G226"/>
      <c r="H226"/>
      <c r="I226"/>
    </row>
  </sheetData>
  <pageMargins left="0.7" right="0.7" top="0.78740157499999996" bottom="0.78740157499999996"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7"/>
  <dimension ref="A1:M138"/>
  <sheetViews>
    <sheetView zoomScaleNormal="100" workbookViewId="0">
      <selection activeCell="P43" sqref="P43"/>
    </sheetView>
  </sheetViews>
  <sheetFormatPr baseColWidth="10" defaultRowHeight="12.75"/>
  <cols>
    <col min="2" max="2" width="24.7109375" customWidth="1"/>
    <col min="6" max="6" width="29" bestFit="1" customWidth="1"/>
  </cols>
  <sheetData>
    <row r="1" spans="2:4">
      <c r="B1" t="s">
        <v>752</v>
      </c>
    </row>
    <row r="3" spans="2:4">
      <c r="B3" t="s">
        <v>753</v>
      </c>
    </row>
    <row r="4" spans="2:4">
      <c r="B4" t="s">
        <v>754</v>
      </c>
    </row>
    <row r="5" spans="2:4">
      <c r="B5" t="s">
        <v>681</v>
      </c>
    </row>
    <row r="6" spans="2:4">
      <c r="B6" t="s">
        <v>682</v>
      </c>
    </row>
    <row r="8" spans="2:4">
      <c r="B8" t="s">
        <v>683</v>
      </c>
    </row>
    <row r="11" spans="2:4">
      <c r="B11" s="298" t="s">
        <v>684</v>
      </c>
    </row>
    <row r="12" spans="2:4">
      <c r="B12" s="298" t="s">
        <v>685</v>
      </c>
    </row>
    <row r="14" spans="2:4">
      <c r="B14" t="s">
        <v>54</v>
      </c>
    </row>
    <row r="15" spans="2:4">
      <c r="B15" s="56" t="s">
        <v>686</v>
      </c>
      <c r="C15" s="299">
        <v>2850</v>
      </c>
      <c r="D15" t="s">
        <v>519</v>
      </c>
    </row>
    <row r="16" spans="2:4">
      <c r="B16" s="56" t="s">
        <v>687</v>
      </c>
      <c r="C16" s="299">
        <v>1498</v>
      </c>
      <c r="D16" t="s">
        <v>519</v>
      </c>
    </row>
    <row r="17" spans="2:13">
      <c r="B17" s="56" t="s">
        <v>688</v>
      </c>
      <c r="C17" s="299">
        <v>300</v>
      </c>
      <c r="D17" t="s">
        <v>591</v>
      </c>
      <c r="E17" t="s">
        <v>689</v>
      </c>
    </row>
    <row r="18" spans="2:13">
      <c r="B18" s="56" t="s">
        <v>690</v>
      </c>
      <c r="C18" s="299">
        <v>96</v>
      </c>
      <c r="D18" t="s">
        <v>591</v>
      </c>
      <c r="E18" t="s">
        <v>691</v>
      </c>
    </row>
    <row r="19" spans="2:13">
      <c r="B19" s="300" t="s">
        <v>692</v>
      </c>
      <c r="C19">
        <v>2.54</v>
      </c>
    </row>
    <row r="21" spans="2:13">
      <c r="B21" s="300" t="s">
        <v>693</v>
      </c>
      <c r="C21" s="59">
        <f>C15/C17</f>
        <v>9.5</v>
      </c>
      <c r="D21" t="s">
        <v>694</v>
      </c>
      <c r="E21" s="301" t="s">
        <v>695</v>
      </c>
    </row>
    <row r="22" spans="2:13">
      <c r="B22" s="300" t="s">
        <v>696</v>
      </c>
      <c r="C22" s="59">
        <f>C16/C17</f>
        <v>4.9933333333333332</v>
      </c>
      <c r="D22" t="s">
        <v>694</v>
      </c>
      <c r="E22" s="301" t="s">
        <v>697</v>
      </c>
    </row>
    <row r="24" spans="2:13">
      <c r="B24" s="300" t="s">
        <v>698</v>
      </c>
      <c r="C24" s="59">
        <f>C21*C19</f>
        <v>24.13</v>
      </c>
      <c r="D24" t="s">
        <v>212</v>
      </c>
      <c r="E24" t="s">
        <v>699</v>
      </c>
    </row>
    <row r="25" spans="2:13">
      <c r="B25" s="300" t="s">
        <v>700</v>
      </c>
      <c r="C25" s="59">
        <f>C22*C19</f>
        <v>12.683066666666667</v>
      </c>
      <c r="D25" t="s">
        <v>212</v>
      </c>
      <c r="E25" t="s">
        <v>701</v>
      </c>
    </row>
    <row r="27" spans="2:13">
      <c r="B27" s="300" t="s">
        <v>702</v>
      </c>
      <c r="C27" s="59">
        <f>C15/C18</f>
        <v>29.6875</v>
      </c>
      <c r="D27" t="s">
        <v>694</v>
      </c>
    </row>
    <row r="28" spans="2:13">
      <c r="B28" s="300" t="s">
        <v>703</v>
      </c>
      <c r="C28" s="59">
        <f>C16/C18</f>
        <v>15.604166666666666</v>
      </c>
      <c r="D28" t="s">
        <v>694</v>
      </c>
    </row>
    <row r="30" spans="2:13">
      <c r="B30" s="300" t="s">
        <v>704</v>
      </c>
      <c r="C30" s="59">
        <f>C27*C19</f>
        <v>75.40625</v>
      </c>
      <c r="D30" t="s">
        <v>212</v>
      </c>
    </row>
    <row r="31" spans="2:13" s="1" customFormat="1">
      <c r="B31" s="300" t="s">
        <v>705</v>
      </c>
      <c r="C31" s="59">
        <f>C28*C19</f>
        <v>39.634583333333332</v>
      </c>
      <c r="D31" t="s">
        <v>212</v>
      </c>
      <c r="E31"/>
      <c r="F31"/>
      <c r="G31"/>
      <c r="H31"/>
      <c r="I31"/>
      <c r="J31"/>
      <c r="K31"/>
      <c r="L31"/>
      <c r="M31"/>
    </row>
    <row r="32" spans="2:13" s="1" customFormat="1">
      <c r="B32"/>
      <c r="C32"/>
      <c r="D32"/>
      <c r="E32"/>
      <c r="F32"/>
      <c r="G32"/>
      <c r="H32"/>
      <c r="I32"/>
      <c r="J32"/>
      <c r="K32"/>
      <c r="L32"/>
      <c r="M32"/>
    </row>
    <row r="33" spans="1:13" s="1" customFormat="1">
      <c r="B33"/>
      <c r="C33"/>
      <c r="D33"/>
      <c r="E33"/>
      <c r="F33"/>
      <c r="G33"/>
      <c r="H33"/>
      <c r="I33"/>
      <c r="J33"/>
      <c r="K33"/>
      <c r="L33"/>
      <c r="M33"/>
    </row>
    <row r="34" spans="1:13" s="1" customFormat="1">
      <c r="A34"/>
      <c r="B34"/>
      <c r="C34"/>
      <c r="D34"/>
      <c r="E34"/>
      <c r="F34"/>
      <c r="G34"/>
      <c r="H34"/>
      <c r="I34"/>
      <c r="J34"/>
      <c r="K34"/>
      <c r="L34"/>
      <c r="M34"/>
    </row>
    <row r="35" spans="1:13" s="1" customFormat="1">
      <c r="A35"/>
      <c r="B35" s="298" t="s">
        <v>706</v>
      </c>
      <c r="C35"/>
      <c r="D35"/>
      <c r="E35"/>
      <c r="F35"/>
      <c r="G35"/>
      <c r="H35"/>
      <c r="I35"/>
      <c r="J35"/>
      <c r="K35"/>
      <c r="L35"/>
      <c r="M35"/>
    </row>
    <row r="36" spans="1:13" s="1" customFormat="1">
      <c r="A36"/>
      <c r="B36"/>
      <c r="C36"/>
      <c r="D36"/>
      <c r="E36"/>
      <c r="F36"/>
      <c r="G36"/>
      <c r="H36"/>
      <c r="I36"/>
      <c r="J36"/>
      <c r="K36"/>
      <c r="L36"/>
      <c r="M36"/>
    </row>
    <row r="37" spans="1:13" s="1" customFormat="1">
      <c r="A37"/>
      <c r="B37" s="60" t="s">
        <v>526</v>
      </c>
      <c r="C37" s="299">
        <v>10</v>
      </c>
      <c r="D37" t="s">
        <v>212</v>
      </c>
      <c r="E37"/>
      <c r="F37"/>
      <c r="G37"/>
    </row>
    <row r="38" spans="1:13">
      <c r="B38" s="60" t="s">
        <v>520</v>
      </c>
      <c r="C38" s="299">
        <v>15</v>
      </c>
      <c r="D38" t="s">
        <v>212</v>
      </c>
    </row>
    <row r="39" spans="1:13">
      <c r="B39" s="300" t="s">
        <v>707</v>
      </c>
      <c r="C39" s="299">
        <v>800</v>
      </c>
      <c r="D39" t="s">
        <v>519</v>
      </c>
    </row>
    <row r="40" spans="1:13">
      <c r="B40" s="56" t="s">
        <v>708</v>
      </c>
      <c r="C40">
        <f>1/2.54</f>
        <v>0.39370078740157477</v>
      </c>
    </row>
    <row r="42" spans="1:13">
      <c r="B42" s="301" t="s">
        <v>709</v>
      </c>
      <c r="F42" s="302">
        <f>C48</f>
        <v>135.4666666666667</v>
      </c>
    </row>
    <row r="43" spans="1:13">
      <c r="B43" s="56" t="s">
        <v>710</v>
      </c>
      <c r="C43">
        <f>C38/C37</f>
        <v>1.5</v>
      </c>
      <c r="F43" s="58">
        <f>C48</f>
        <v>135.4666666666667</v>
      </c>
    </row>
    <row r="44" spans="1:13">
      <c r="B44" s="56" t="s">
        <v>711</v>
      </c>
      <c r="C44" s="118">
        <f>C39/C43</f>
        <v>533.33333333333337</v>
      </c>
    </row>
    <row r="45" spans="1:13">
      <c r="B45" s="56" t="s">
        <v>712</v>
      </c>
      <c r="C45" s="58">
        <f>C37*C40</f>
        <v>3.9370078740157477</v>
      </c>
    </row>
    <row r="46" spans="1:13">
      <c r="B46" s="56" t="s">
        <v>713</v>
      </c>
      <c r="C46" s="58">
        <f>C38*C40</f>
        <v>5.9055118110236213</v>
      </c>
      <c r="F46" s="303">
        <f>F42*15</f>
        <v>2032.0000000000005</v>
      </c>
    </row>
    <row r="47" spans="1:13">
      <c r="F47" s="303">
        <f>F43*15</f>
        <v>2032.0000000000005</v>
      </c>
    </row>
    <row r="48" spans="1:13">
      <c r="B48" s="56" t="s">
        <v>714</v>
      </c>
      <c r="C48" s="58">
        <f>C44/C45</f>
        <v>135.4666666666667</v>
      </c>
    </row>
    <row r="49" spans="2:7">
      <c r="B49" s="56" t="s">
        <v>715</v>
      </c>
      <c r="C49" s="58">
        <f>C39/C46</f>
        <v>135.4666666666667</v>
      </c>
      <c r="F49" s="302">
        <f>ROUND(F42,1)</f>
        <v>135.5</v>
      </c>
    </row>
    <row r="52" spans="2:7">
      <c r="B52" t="str">
        <f>"Das Foto hat eine Auflösung von " &amp; ROUND(C48,2) &amp;" dpi."</f>
        <v>Das Foto hat eine Auflösung von 135,47 dpi.</v>
      </c>
    </row>
    <row r="57" spans="2:7">
      <c r="B57" s="2" t="s">
        <v>716</v>
      </c>
      <c r="C57" s="1"/>
      <c r="D57" s="1"/>
      <c r="E57" s="1"/>
      <c r="F57" s="1"/>
      <c r="G57" s="1"/>
    </row>
    <row r="58" spans="2:7">
      <c r="B58" s="2" t="s">
        <v>717</v>
      </c>
      <c r="C58" s="1"/>
      <c r="D58" s="1"/>
      <c r="E58" s="1"/>
      <c r="F58" s="1"/>
      <c r="G58" s="1"/>
    </row>
    <row r="59" spans="2:7">
      <c r="B59" s="2" t="s">
        <v>718</v>
      </c>
      <c r="C59" s="1"/>
      <c r="D59" s="1"/>
      <c r="E59" s="1"/>
      <c r="F59" s="1"/>
      <c r="G59" s="1"/>
    </row>
    <row r="60" spans="2:7">
      <c r="B60" s="2" t="s">
        <v>719</v>
      </c>
      <c r="C60" s="1"/>
      <c r="D60" s="1"/>
      <c r="E60" s="1"/>
      <c r="F60" s="1"/>
      <c r="G60" s="1"/>
    </row>
    <row r="61" spans="2:7">
      <c r="B61" s="2" t="s">
        <v>720</v>
      </c>
      <c r="C61" s="1"/>
      <c r="D61" s="1"/>
      <c r="E61" s="1"/>
      <c r="F61" s="1"/>
      <c r="G61" s="1"/>
    </row>
    <row r="62" spans="2:7">
      <c r="B62" s="1"/>
      <c r="C62" s="1"/>
      <c r="D62" s="1"/>
      <c r="E62" s="1"/>
      <c r="F62" s="1"/>
      <c r="G62" s="1"/>
    </row>
    <row r="63" spans="2:7">
      <c r="B63" s="1"/>
      <c r="C63" s="1"/>
      <c r="D63" s="1"/>
      <c r="E63" s="1"/>
      <c r="F63" s="1"/>
      <c r="G63" s="1"/>
    </row>
    <row r="64" spans="2:7">
      <c r="B64" s="165" t="s">
        <v>520</v>
      </c>
      <c r="C64" s="235">
        <v>4000</v>
      </c>
      <c r="D64" t="s">
        <v>519</v>
      </c>
      <c r="F64" s="1"/>
      <c r="G64" s="1"/>
    </row>
    <row r="65" spans="2:7">
      <c r="B65" s="60" t="s">
        <v>526</v>
      </c>
      <c r="C65" s="235">
        <v>3000</v>
      </c>
      <c r="D65" t="s">
        <v>519</v>
      </c>
      <c r="F65" s="1"/>
      <c r="G65" s="1"/>
    </row>
    <row r="66" spans="2:7">
      <c r="B66" s="56"/>
      <c r="F66" s="1"/>
      <c r="G66" s="1"/>
    </row>
    <row r="67" spans="2:7">
      <c r="B67" s="56" t="s">
        <v>721</v>
      </c>
      <c r="C67" s="235">
        <v>96</v>
      </c>
      <c r="D67" t="s">
        <v>591</v>
      </c>
      <c r="F67" s="1"/>
      <c r="G67" s="1"/>
    </row>
    <row r="68" spans="2:7">
      <c r="B68" s="56" t="s">
        <v>722</v>
      </c>
      <c r="C68" s="235">
        <v>300</v>
      </c>
      <c r="D68" t="s">
        <v>591</v>
      </c>
    </row>
    <row r="69" spans="2:7" ht="13.5" thickBot="1">
      <c r="B69" s="56"/>
    </row>
    <row r="70" spans="2:7">
      <c r="B70" s="304" t="s">
        <v>723</v>
      </c>
      <c r="C70" s="305">
        <f>C64/C67</f>
        <v>41.666666666666664</v>
      </c>
      <c r="D70" s="306" t="s">
        <v>724</v>
      </c>
      <c r="E70" t="s">
        <v>725</v>
      </c>
    </row>
    <row r="71" spans="2:7">
      <c r="B71" s="307" t="s">
        <v>726</v>
      </c>
      <c r="C71" s="308">
        <f>C65/C67</f>
        <v>31.25</v>
      </c>
      <c r="D71" s="309" t="s">
        <v>724</v>
      </c>
    </row>
    <row r="72" spans="2:7">
      <c r="B72" s="310"/>
      <c r="C72" s="308"/>
      <c r="D72" s="309"/>
    </row>
    <row r="73" spans="2:7">
      <c r="B73" s="307" t="s">
        <v>723</v>
      </c>
      <c r="C73" s="308">
        <f>C70*2.54</f>
        <v>105.83333333333333</v>
      </c>
      <c r="D73" s="309" t="s">
        <v>212</v>
      </c>
      <c r="E73" t="s">
        <v>727</v>
      </c>
    </row>
    <row r="74" spans="2:7" ht="13.5" thickBot="1">
      <c r="B74" s="311" t="s">
        <v>726</v>
      </c>
      <c r="C74" s="312">
        <f>C71*2.54</f>
        <v>79.375</v>
      </c>
      <c r="D74" s="313" t="s">
        <v>212</v>
      </c>
    </row>
    <row r="75" spans="2:7" ht="13.5" thickBot="1">
      <c r="C75" s="57"/>
    </row>
    <row r="76" spans="2:7">
      <c r="B76" s="304" t="s">
        <v>728</v>
      </c>
      <c r="C76" s="305">
        <f>C64/C68</f>
        <v>13.333333333333334</v>
      </c>
      <c r="D76" s="306" t="s">
        <v>724</v>
      </c>
    </row>
    <row r="77" spans="2:7">
      <c r="B77" s="307" t="s">
        <v>729</v>
      </c>
      <c r="C77" s="308">
        <f>C65/C68</f>
        <v>10</v>
      </c>
      <c r="D77" s="309" t="s">
        <v>724</v>
      </c>
    </row>
    <row r="78" spans="2:7">
      <c r="B78" s="310"/>
      <c r="C78" s="308"/>
      <c r="D78" s="309"/>
    </row>
    <row r="79" spans="2:7">
      <c r="B79" s="307" t="s">
        <v>728</v>
      </c>
      <c r="C79" s="308">
        <f>C76*2.54</f>
        <v>33.866666666666667</v>
      </c>
      <c r="D79" s="309" t="s">
        <v>212</v>
      </c>
    </row>
    <row r="80" spans="2:7" ht="13.5" thickBot="1">
      <c r="B80" s="311" t="s">
        <v>729</v>
      </c>
      <c r="C80" s="312">
        <f>C77*2.54</f>
        <v>25.4</v>
      </c>
      <c r="D80" s="313" t="s">
        <v>212</v>
      </c>
    </row>
    <row r="85" spans="2:7">
      <c r="B85" s="2" t="s">
        <v>730</v>
      </c>
      <c r="C85" s="1"/>
      <c r="D85" s="1"/>
      <c r="E85" s="1"/>
      <c r="F85" s="1"/>
      <c r="G85" s="1"/>
    </row>
    <row r="86" spans="2:7">
      <c r="B86" s="2" t="s">
        <v>731</v>
      </c>
      <c r="C86" s="1"/>
      <c r="D86" s="1"/>
      <c r="E86" s="1"/>
      <c r="F86" s="1"/>
      <c r="G86" s="1"/>
    </row>
    <row r="87" spans="2:7">
      <c r="B87" s="2" t="s">
        <v>732</v>
      </c>
      <c r="C87" s="1"/>
      <c r="D87" s="1"/>
      <c r="E87" s="1"/>
      <c r="F87" s="1"/>
      <c r="G87" s="1"/>
    </row>
    <row r="88" spans="2:7">
      <c r="B88" s="2" t="s">
        <v>733</v>
      </c>
      <c r="C88" s="1"/>
      <c r="D88" s="1"/>
      <c r="E88" s="1"/>
      <c r="F88" s="1"/>
      <c r="G88" s="1"/>
    </row>
    <row r="89" spans="2:7">
      <c r="B89" s="1"/>
      <c r="C89" s="1"/>
      <c r="D89" s="1"/>
      <c r="E89" s="1"/>
      <c r="F89" s="1"/>
      <c r="G89" s="1"/>
    </row>
    <row r="90" spans="2:7">
      <c r="B90" s="32"/>
      <c r="C90" s="32"/>
    </row>
    <row r="91" spans="2:7">
      <c r="B91" s="32" t="s">
        <v>54</v>
      </c>
      <c r="C91" s="32"/>
    </row>
    <row r="92" spans="2:7">
      <c r="B92" s="32"/>
      <c r="C92" s="32"/>
    </row>
    <row r="93" spans="2:7">
      <c r="B93" s="60" t="s">
        <v>734</v>
      </c>
      <c r="C93" s="299">
        <v>25.4</v>
      </c>
      <c r="D93" t="s">
        <v>212</v>
      </c>
    </row>
    <row r="94" spans="2:7">
      <c r="B94" s="60" t="s">
        <v>735</v>
      </c>
      <c r="C94" s="299">
        <v>19.05</v>
      </c>
      <c r="D94" t="s">
        <v>212</v>
      </c>
    </row>
    <row r="95" spans="2:7">
      <c r="B95" s="60" t="s">
        <v>736</v>
      </c>
      <c r="C95" s="299">
        <v>96</v>
      </c>
      <c r="D95" t="s">
        <v>737</v>
      </c>
    </row>
    <row r="96" spans="2:7">
      <c r="B96" s="60" t="s">
        <v>708</v>
      </c>
      <c r="C96" s="32">
        <f>1/2.54</f>
        <v>0.39370078740157477</v>
      </c>
      <c r="E96" t="s">
        <v>738</v>
      </c>
    </row>
    <row r="97" spans="2:6">
      <c r="C97" s="32"/>
    </row>
    <row r="98" spans="2:6">
      <c r="B98" s="60" t="s">
        <v>739</v>
      </c>
      <c r="C98">
        <f>C93*C96</f>
        <v>9.9999999999999982</v>
      </c>
      <c r="D98" t="s">
        <v>637</v>
      </c>
    </row>
    <row r="99" spans="2:6">
      <c r="B99" s="300" t="s">
        <v>740</v>
      </c>
      <c r="C99">
        <f>C94*C96</f>
        <v>7.5</v>
      </c>
      <c r="D99" t="s">
        <v>637</v>
      </c>
    </row>
    <row r="101" spans="2:6">
      <c r="B101" s="300" t="s">
        <v>741</v>
      </c>
      <c r="C101">
        <f>C98*C95</f>
        <v>959.99999999999977</v>
      </c>
      <c r="D101" t="s">
        <v>519</v>
      </c>
    </row>
    <row r="102" spans="2:6">
      <c r="B102" s="300" t="s">
        <v>742</v>
      </c>
      <c r="C102">
        <f>C99*C95</f>
        <v>720</v>
      </c>
      <c r="D102" t="s">
        <v>519</v>
      </c>
    </row>
    <row r="104" spans="2:6">
      <c r="B104" t="str">
        <f>"Die Fotos müssen eine Größe von " &amp;C101&amp; " px mal " &amp;C102&amp; " px haben."</f>
        <v>Die Fotos müssen eine Größe von 960 px mal 720 px haben.</v>
      </c>
    </row>
    <row r="108" spans="2:6">
      <c r="B108" s="2" t="s">
        <v>743</v>
      </c>
      <c r="C108" s="1"/>
      <c r="D108" s="1"/>
      <c r="E108" s="1"/>
      <c r="F108" s="1"/>
    </row>
    <row r="109" spans="2:6">
      <c r="B109" s="2" t="s">
        <v>744</v>
      </c>
      <c r="C109" s="1"/>
      <c r="D109" s="1"/>
      <c r="E109" s="1"/>
      <c r="F109" s="1"/>
    </row>
    <row r="110" spans="2:6">
      <c r="B110" s="2" t="s">
        <v>745</v>
      </c>
      <c r="C110" s="1"/>
      <c r="D110" s="1"/>
      <c r="E110" s="1"/>
      <c r="F110" s="1"/>
    </row>
    <row r="111" spans="2:6">
      <c r="B111" s="2" t="s">
        <v>746</v>
      </c>
      <c r="C111" s="1"/>
      <c r="D111" s="1"/>
      <c r="E111" s="1"/>
      <c r="F111" s="1"/>
    </row>
    <row r="112" spans="2:6">
      <c r="C112" s="1"/>
      <c r="D112" s="1"/>
      <c r="E112" s="1"/>
      <c r="F112" s="1"/>
    </row>
    <row r="113" spans="2:5">
      <c r="B113" s="32"/>
      <c r="C113" s="32"/>
    </row>
    <row r="114" spans="2:5">
      <c r="B114" s="32" t="s">
        <v>54</v>
      </c>
      <c r="C114" s="32"/>
    </row>
    <row r="115" spans="2:5">
      <c r="B115" s="32"/>
      <c r="C115" s="32"/>
    </row>
    <row r="116" spans="2:5">
      <c r="B116" s="60" t="s">
        <v>520</v>
      </c>
      <c r="C116" s="299">
        <v>18.149999999999999</v>
      </c>
      <c r="D116" t="s">
        <v>212</v>
      </c>
    </row>
    <row r="117" spans="2:5">
      <c r="B117" s="60" t="s">
        <v>526</v>
      </c>
      <c r="C117" s="299">
        <v>13.07</v>
      </c>
      <c r="D117" t="s">
        <v>212</v>
      </c>
    </row>
    <row r="118" spans="2:5">
      <c r="B118" s="60" t="s">
        <v>736</v>
      </c>
      <c r="C118" s="299">
        <v>96</v>
      </c>
      <c r="D118" t="s">
        <v>737</v>
      </c>
    </row>
    <row r="119" spans="2:5">
      <c r="B119" s="60" t="s">
        <v>708</v>
      </c>
      <c r="C119" s="32">
        <f>1/2.54</f>
        <v>0.39370078740157477</v>
      </c>
      <c r="E119" t="s">
        <v>738</v>
      </c>
    </row>
    <row r="120" spans="2:5">
      <c r="C120" s="32"/>
    </row>
    <row r="121" spans="2:5">
      <c r="B121" s="60" t="s">
        <v>713</v>
      </c>
      <c r="C121">
        <f>C116*C119</f>
        <v>7.1456692913385815</v>
      </c>
      <c r="D121" t="s">
        <v>637</v>
      </c>
    </row>
    <row r="122" spans="2:5">
      <c r="B122" s="300" t="s">
        <v>712</v>
      </c>
      <c r="C122">
        <f>C117*C119</f>
        <v>5.1456692913385824</v>
      </c>
      <c r="D122" t="s">
        <v>637</v>
      </c>
    </row>
    <row r="124" spans="2:5">
      <c r="B124" s="300" t="s">
        <v>747</v>
      </c>
      <c r="C124" s="252">
        <f>C121*C118</f>
        <v>685.98425196850383</v>
      </c>
      <c r="D124" t="s">
        <v>519</v>
      </c>
    </row>
    <row r="125" spans="2:5">
      <c r="B125" s="300" t="s">
        <v>748</v>
      </c>
      <c r="C125" s="252">
        <f>C122*C118</f>
        <v>493.98425196850394</v>
      </c>
      <c r="D125" t="s">
        <v>519</v>
      </c>
    </row>
    <row r="126" spans="2:5">
      <c r="B126" s="300" t="s">
        <v>749</v>
      </c>
      <c r="C126" s="314">
        <f>ROUND(C124,0)*ROUND(C125,0)</f>
        <v>338884</v>
      </c>
      <c r="D126" t="s">
        <v>519</v>
      </c>
    </row>
    <row r="128" spans="2:5">
      <c r="B128" t="str">
        <f>"Das Foto muss eine Größe von " &amp;ROUND(C124,0)&amp; " px mal " &amp;ROUND(C125,0)&amp; " px, insgesamt " &amp; C126 &amp; " px haben."</f>
        <v>Das Foto muss eine Größe von 686 px mal 494 px, insgesamt 338884 px haben.</v>
      </c>
    </row>
    <row r="130" spans="2:4">
      <c r="B130" s="254" t="s">
        <v>750</v>
      </c>
      <c r="C130" s="299">
        <v>300</v>
      </c>
      <c r="D130" s="315" t="s">
        <v>591</v>
      </c>
    </row>
    <row r="131" spans="2:4">
      <c r="B131" s="56"/>
    </row>
    <row r="132" spans="2:4">
      <c r="B132" s="60" t="s">
        <v>713</v>
      </c>
      <c r="C132" s="57">
        <f>C124/C130</f>
        <v>2.286614173228346</v>
      </c>
    </row>
    <row r="133" spans="2:4">
      <c r="B133" s="300" t="s">
        <v>712</v>
      </c>
      <c r="C133" s="57">
        <f>C125/C130</f>
        <v>1.6466141732283466</v>
      </c>
    </row>
    <row r="134" spans="2:4">
      <c r="B134" s="316" t="s">
        <v>751</v>
      </c>
      <c r="C134" s="299">
        <v>2.54</v>
      </c>
    </row>
    <row r="135" spans="2:4">
      <c r="B135" s="60" t="s">
        <v>520</v>
      </c>
      <c r="C135" s="57">
        <f>C132*C134</f>
        <v>5.8079999999999989</v>
      </c>
      <c r="D135" s="315" t="s">
        <v>212</v>
      </c>
    </row>
    <row r="136" spans="2:4">
      <c r="B136" s="60" t="s">
        <v>526</v>
      </c>
      <c r="C136" s="57">
        <f>C133*C134</f>
        <v>4.1824000000000003</v>
      </c>
      <c r="D136" s="315" t="s">
        <v>212</v>
      </c>
    </row>
    <row r="138" spans="2:4">
      <c r="B138" t="str">
        <f>"Das Foto wird bei einer Auflösung von " &amp; C130 &amp; " dpi eine Größe von " &amp;ROUND(C135,2)&amp; " cm mal " &amp;ROUND(C136,2)&amp; " cm haben."</f>
        <v>Das Foto wird bei einer Auflösung von 300 dpi eine Größe von 5,81 cm mal 4,18 cm haben.</v>
      </c>
    </row>
  </sheetData>
  <pageMargins left="0.78740157499999996" right="0.78740157499999996" top="0.984251969" bottom="0.984251969" header="0.4921259845" footer="0.492125984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K284"/>
  <sheetViews>
    <sheetView zoomScale="90" zoomScaleNormal="90" workbookViewId="0">
      <selection activeCell="G269" sqref="G269"/>
    </sheetView>
  </sheetViews>
  <sheetFormatPr baseColWidth="10" defaultRowHeight="12.75"/>
  <cols>
    <col min="3" max="3" width="65.42578125" customWidth="1"/>
    <col min="4" max="4" width="27.140625" customWidth="1"/>
    <col min="5" max="5" width="29.28515625" customWidth="1"/>
    <col min="6" max="6" width="27.5703125" customWidth="1"/>
    <col min="7" max="7" width="20.7109375" customWidth="1"/>
    <col min="8" max="8" width="15.7109375" customWidth="1"/>
  </cols>
  <sheetData>
    <row r="1" spans="1:11">
      <c r="A1" s="24"/>
      <c r="B1" s="24"/>
      <c r="C1" s="24"/>
      <c r="D1" s="24"/>
      <c r="E1" s="24"/>
      <c r="F1" s="24"/>
      <c r="G1" s="24"/>
      <c r="H1" s="24"/>
      <c r="I1" s="24"/>
      <c r="J1" s="24"/>
      <c r="K1" s="24"/>
    </row>
    <row r="2" spans="1:11">
      <c r="A2" s="24"/>
      <c r="B2" s="65" t="s">
        <v>755</v>
      </c>
      <c r="C2" s="24"/>
      <c r="D2" s="24"/>
      <c r="E2" s="24"/>
      <c r="F2" s="24"/>
      <c r="G2" s="24"/>
      <c r="H2" s="24"/>
      <c r="I2" s="24"/>
      <c r="J2" s="24"/>
      <c r="K2" s="24"/>
    </row>
    <row r="3" spans="1:11">
      <c r="A3" s="24"/>
      <c r="B3" s="24"/>
      <c r="C3" s="24"/>
      <c r="D3" s="24"/>
      <c r="E3" s="24"/>
      <c r="F3" s="24"/>
      <c r="G3" s="24"/>
      <c r="H3" s="24"/>
      <c r="I3" s="24"/>
      <c r="J3" s="24"/>
      <c r="K3" s="24"/>
    </row>
    <row r="4" spans="1:11" ht="38.25">
      <c r="A4" s="24"/>
      <c r="B4" s="330" t="s">
        <v>0</v>
      </c>
      <c r="C4" s="331" t="s">
        <v>756</v>
      </c>
      <c r="D4" s="332"/>
      <c r="E4" s="24"/>
      <c r="F4" s="24"/>
      <c r="G4" s="24"/>
      <c r="H4" s="24"/>
      <c r="I4" s="24"/>
      <c r="J4" s="24"/>
      <c r="K4" s="24"/>
    </row>
    <row r="5" spans="1:11" ht="38.25">
      <c r="A5" s="24"/>
      <c r="B5" s="24"/>
      <c r="C5" s="331" t="s">
        <v>757</v>
      </c>
      <c r="D5" s="332"/>
      <c r="E5" s="24"/>
      <c r="F5" s="24"/>
      <c r="G5" s="24"/>
      <c r="H5" s="24"/>
      <c r="I5" s="24"/>
      <c r="J5" s="24"/>
      <c r="K5" s="24"/>
    </row>
    <row r="6" spans="1:11" ht="25.5">
      <c r="A6" s="24"/>
      <c r="B6" s="24"/>
      <c r="C6" s="353" t="s">
        <v>758</v>
      </c>
      <c r="D6" s="332"/>
      <c r="E6" s="24"/>
      <c r="F6" s="24"/>
      <c r="G6" s="24"/>
      <c r="H6" s="24"/>
      <c r="I6" s="24"/>
      <c r="J6" s="24"/>
      <c r="K6" s="24"/>
    </row>
    <row r="7" spans="1:11">
      <c r="A7" s="24"/>
      <c r="B7" s="24"/>
      <c r="C7" s="24"/>
      <c r="D7" s="332"/>
      <c r="E7" s="24"/>
      <c r="F7" s="24"/>
      <c r="G7" s="24"/>
      <c r="H7" s="24"/>
      <c r="I7" s="24"/>
      <c r="J7" s="24"/>
      <c r="K7" s="24"/>
    </row>
    <row r="8" spans="1:11">
      <c r="A8" s="24"/>
      <c r="B8" s="24"/>
      <c r="C8" s="333" t="s">
        <v>759</v>
      </c>
      <c r="D8" s="334" t="s">
        <v>760</v>
      </c>
      <c r="E8" s="335"/>
      <c r="F8" s="24"/>
      <c r="G8" s="24"/>
      <c r="H8" s="24"/>
      <c r="I8" s="24"/>
      <c r="J8" s="24"/>
      <c r="K8" s="24"/>
    </row>
    <row r="9" spans="1:11">
      <c r="A9" s="24"/>
      <c r="B9" s="24"/>
      <c r="C9" s="336"/>
      <c r="D9" s="175"/>
      <c r="E9" s="337"/>
      <c r="F9" s="24"/>
      <c r="G9" s="24"/>
      <c r="H9" s="24"/>
      <c r="I9" s="24"/>
      <c r="J9" s="24"/>
      <c r="K9" s="24"/>
    </row>
    <row r="10" spans="1:11">
      <c r="A10" s="24"/>
      <c r="B10" s="37"/>
      <c r="C10" s="338" t="s">
        <v>761</v>
      </c>
      <c r="D10" s="339" t="s">
        <v>762</v>
      </c>
      <c r="E10" s="337">
        <v>1</v>
      </c>
      <c r="F10" s="24"/>
      <c r="G10" s="24"/>
      <c r="H10" s="24"/>
      <c r="I10" s="24"/>
      <c r="J10" s="24"/>
      <c r="K10" s="24"/>
    </row>
    <row r="11" spans="1:11">
      <c r="A11" s="24"/>
      <c r="B11" s="37"/>
      <c r="C11" s="340" t="s">
        <v>763</v>
      </c>
      <c r="D11" s="341"/>
      <c r="E11" s="194"/>
      <c r="F11" s="24"/>
      <c r="G11" s="24"/>
      <c r="H11" s="24"/>
      <c r="I11" s="24"/>
      <c r="J11" s="24"/>
      <c r="K11" s="24"/>
    </row>
    <row r="12" spans="1:11">
      <c r="A12" s="24"/>
      <c r="B12" s="37"/>
      <c r="C12" s="340" t="s">
        <v>764</v>
      </c>
      <c r="D12" s="339" t="s">
        <v>765</v>
      </c>
      <c r="E12" s="337">
        <v>1000</v>
      </c>
      <c r="F12" s="24"/>
      <c r="G12" s="24"/>
      <c r="H12" s="24"/>
      <c r="I12" s="24"/>
      <c r="J12" s="24"/>
      <c r="K12" s="24"/>
    </row>
    <row r="13" spans="1:11">
      <c r="A13" s="24"/>
      <c r="B13" s="37"/>
      <c r="C13" s="340" t="s">
        <v>766</v>
      </c>
      <c r="D13" s="339" t="s">
        <v>767</v>
      </c>
      <c r="E13" s="337">
        <v>1000000</v>
      </c>
      <c r="F13" s="24"/>
      <c r="G13" s="24"/>
      <c r="H13" s="24"/>
      <c r="I13" s="24"/>
      <c r="J13" s="24"/>
      <c r="K13" s="24"/>
    </row>
    <row r="14" spans="1:11">
      <c r="A14" s="24"/>
      <c r="B14" s="37"/>
      <c r="C14" s="340" t="s">
        <v>768</v>
      </c>
      <c r="D14" s="339" t="s">
        <v>769</v>
      </c>
      <c r="E14" s="337">
        <v>1000000000</v>
      </c>
      <c r="F14" s="24"/>
      <c r="G14" s="24"/>
      <c r="H14" s="24"/>
      <c r="I14" s="24"/>
      <c r="J14" s="24"/>
      <c r="K14" s="24"/>
    </row>
    <row r="15" spans="1:11">
      <c r="A15" s="24"/>
      <c r="B15" s="37"/>
      <c r="C15" s="340" t="s">
        <v>770</v>
      </c>
      <c r="D15" s="339"/>
      <c r="E15" s="337"/>
      <c r="F15" s="24"/>
      <c r="G15" s="24"/>
      <c r="H15" s="24"/>
      <c r="I15" s="24"/>
      <c r="J15" s="24"/>
      <c r="K15" s="24"/>
    </row>
    <row r="16" spans="1:11">
      <c r="A16" s="24"/>
      <c r="B16" s="37"/>
      <c r="C16" s="340" t="s">
        <v>771</v>
      </c>
      <c r="D16" s="339"/>
      <c r="E16" s="337"/>
      <c r="F16" s="24"/>
      <c r="G16" s="24"/>
      <c r="H16" s="24"/>
      <c r="I16" s="24"/>
      <c r="J16" s="24"/>
      <c r="K16" s="24"/>
    </row>
    <row r="17" spans="1:11">
      <c r="A17" s="24"/>
      <c r="B17" s="37"/>
      <c r="C17" s="340" t="s">
        <v>772</v>
      </c>
      <c r="D17" s="339"/>
      <c r="E17" s="337"/>
      <c r="F17" s="24"/>
      <c r="G17" s="24"/>
      <c r="H17" s="24"/>
      <c r="I17" s="24"/>
      <c r="J17" s="24"/>
      <c r="K17" s="24"/>
    </row>
    <row r="18" spans="1:11">
      <c r="A18" s="24"/>
      <c r="B18" s="24"/>
      <c r="C18" s="342" t="s">
        <v>773</v>
      </c>
      <c r="D18" s="343"/>
      <c r="E18" s="344"/>
      <c r="F18" s="24"/>
      <c r="G18" s="24"/>
      <c r="H18" s="24"/>
      <c r="I18" s="24"/>
      <c r="J18" s="24"/>
      <c r="K18" s="24"/>
    </row>
    <row r="19" spans="1:11">
      <c r="A19" s="24"/>
      <c r="B19" s="24"/>
      <c r="C19" s="24"/>
      <c r="D19" s="332"/>
      <c r="E19" s="24"/>
      <c r="F19" s="24"/>
      <c r="G19" s="24"/>
      <c r="H19" s="24"/>
      <c r="I19" s="24"/>
      <c r="J19" s="24"/>
      <c r="K19" s="24"/>
    </row>
    <row r="20" spans="1:11">
      <c r="A20" s="24"/>
      <c r="B20" s="24"/>
      <c r="C20" s="24"/>
      <c r="D20" s="332"/>
      <c r="E20" s="24"/>
      <c r="F20" s="24"/>
      <c r="G20" s="24"/>
      <c r="H20" s="24"/>
      <c r="I20" s="24"/>
      <c r="J20" s="24"/>
      <c r="K20" s="24"/>
    </row>
    <row r="21" spans="1:11">
      <c r="A21" s="24"/>
      <c r="B21" s="24"/>
      <c r="C21" s="65" t="s">
        <v>774</v>
      </c>
      <c r="D21" s="332"/>
      <c r="E21" s="24"/>
      <c r="F21" s="24"/>
      <c r="G21" s="24"/>
      <c r="H21" s="24"/>
      <c r="I21" s="24"/>
      <c r="J21" s="24"/>
      <c r="K21" s="24"/>
    </row>
    <row r="22" spans="1:11">
      <c r="A22" s="24"/>
      <c r="B22" s="24"/>
      <c r="C22" s="24" t="s">
        <v>775</v>
      </c>
      <c r="D22" s="332"/>
      <c r="E22" s="24"/>
      <c r="F22" s="24"/>
      <c r="G22" s="24"/>
      <c r="H22" s="24"/>
      <c r="I22" s="24"/>
      <c r="J22" s="24"/>
      <c r="K22" s="24"/>
    </row>
    <row r="23" spans="1:11">
      <c r="A23" s="24"/>
      <c r="B23" s="24"/>
      <c r="C23" s="24" t="s">
        <v>776</v>
      </c>
      <c r="D23" s="332"/>
      <c r="E23" s="24"/>
      <c r="F23" s="24"/>
      <c r="G23" s="24"/>
      <c r="H23" s="24"/>
      <c r="I23" s="24"/>
      <c r="J23" s="24"/>
      <c r="K23" s="24"/>
    </row>
    <row r="24" spans="1:11">
      <c r="A24" s="24"/>
      <c r="B24" s="24"/>
      <c r="C24" s="24" t="s">
        <v>777</v>
      </c>
      <c r="D24" s="332"/>
      <c r="E24" s="24"/>
      <c r="F24" s="24"/>
      <c r="G24" s="24"/>
      <c r="H24" s="24"/>
      <c r="I24" s="24"/>
      <c r="J24" s="24"/>
      <c r="K24" s="24"/>
    </row>
    <row r="25" spans="1:11">
      <c r="A25" s="24"/>
      <c r="B25" s="24"/>
      <c r="C25" s="24"/>
      <c r="D25" s="332"/>
      <c r="E25" s="24"/>
      <c r="F25" s="24"/>
      <c r="G25" s="24"/>
      <c r="H25" s="24"/>
      <c r="I25" s="24"/>
      <c r="J25" s="24"/>
      <c r="K25" s="24"/>
    </row>
    <row r="26" spans="1:11">
      <c r="A26" s="24"/>
      <c r="B26" s="24"/>
      <c r="C26" s="345" t="s">
        <v>778</v>
      </c>
      <c r="D26" s="332"/>
      <c r="E26" s="24"/>
      <c r="F26" s="24"/>
      <c r="G26" s="24"/>
      <c r="H26" s="24"/>
      <c r="I26" s="24"/>
      <c r="J26" s="24"/>
      <c r="K26" s="24"/>
    </row>
    <row r="27" spans="1:11">
      <c r="A27" s="24"/>
      <c r="B27" s="24"/>
      <c r="C27" s="24" t="s">
        <v>779</v>
      </c>
      <c r="D27" s="332"/>
      <c r="E27" s="24"/>
      <c r="F27" s="24"/>
      <c r="G27" s="24"/>
      <c r="H27" s="24"/>
      <c r="I27" s="24"/>
      <c r="J27" s="24"/>
      <c r="K27" s="24"/>
    </row>
    <row r="28" spans="1:11">
      <c r="A28" s="24"/>
      <c r="B28" s="24"/>
      <c r="C28" s="27" t="s">
        <v>780</v>
      </c>
      <c r="D28" s="332"/>
      <c r="E28" s="24"/>
      <c r="F28" s="24"/>
      <c r="G28" s="24"/>
      <c r="H28" s="24"/>
      <c r="I28" s="24"/>
      <c r="J28" s="24"/>
      <c r="K28" s="24"/>
    </row>
    <row r="29" spans="1:11">
      <c r="A29" s="24"/>
      <c r="B29" s="24"/>
      <c r="C29" s="24" t="s">
        <v>781</v>
      </c>
      <c r="D29" s="332"/>
      <c r="E29" s="24"/>
      <c r="F29" s="24"/>
      <c r="G29" s="24"/>
      <c r="H29" s="24"/>
      <c r="I29" s="24"/>
      <c r="J29" s="24"/>
      <c r="K29" s="24"/>
    </row>
    <row r="30" spans="1:11">
      <c r="A30" s="24"/>
      <c r="B30" s="24"/>
      <c r="C30" s="24"/>
      <c r="D30" s="332"/>
      <c r="E30" s="24"/>
      <c r="F30" s="24"/>
      <c r="G30" s="24"/>
      <c r="H30" s="24"/>
      <c r="I30" s="24"/>
      <c r="J30" s="24"/>
      <c r="K30" s="24"/>
    </row>
    <row r="31" spans="1:11">
      <c r="A31" s="24"/>
      <c r="B31" s="24"/>
      <c r="C31" s="24" t="s">
        <v>782</v>
      </c>
      <c r="D31" s="332"/>
      <c r="E31" s="24"/>
      <c r="F31" s="24"/>
      <c r="G31" s="24"/>
      <c r="H31" s="24"/>
      <c r="I31" s="24"/>
      <c r="J31" s="24"/>
      <c r="K31" s="24"/>
    </row>
    <row r="32" spans="1:11">
      <c r="A32" s="24"/>
      <c r="B32" s="24"/>
      <c r="C32" s="24" t="s">
        <v>783</v>
      </c>
      <c r="D32" s="332"/>
      <c r="E32" s="24"/>
      <c r="F32" s="24"/>
      <c r="G32" s="24"/>
      <c r="H32" s="24"/>
      <c r="I32" s="24"/>
      <c r="J32" s="24"/>
      <c r="K32" s="24"/>
    </row>
    <row r="33" spans="1:11">
      <c r="A33" s="24"/>
      <c r="B33" s="24"/>
      <c r="C33" s="24"/>
      <c r="D33" s="24"/>
      <c r="E33" s="24"/>
      <c r="F33" s="24"/>
      <c r="G33" s="24"/>
      <c r="H33" s="24"/>
      <c r="I33" s="24"/>
      <c r="J33" s="24"/>
      <c r="K33" s="24"/>
    </row>
    <row r="34" spans="1:11">
      <c r="A34" s="24"/>
      <c r="B34" s="24"/>
      <c r="C34" s="17" t="s">
        <v>812</v>
      </c>
      <c r="D34" s="24"/>
      <c r="E34" s="24"/>
      <c r="F34" s="24"/>
      <c r="G34" s="24"/>
      <c r="H34" s="24"/>
      <c r="I34" s="24"/>
      <c r="J34" s="24"/>
      <c r="K34" s="24"/>
    </row>
    <row r="35" spans="1:11">
      <c r="A35" s="24"/>
      <c r="B35" s="24"/>
      <c r="C35" s="19" t="s">
        <v>813</v>
      </c>
      <c r="D35" s="24"/>
      <c r="E35" s="346"/>
      <c r="F35" s="24"/>
      <c r="G35" s="24"/>
      <c r="H35" s="24"/>
      <c r="I35" s="24"/>
      <c r="J35" s="24"/>
      <c r="K35" s="24"/>
    </row>
    <row r="36" spans="1:11">
      <c r="A36" s="24"/>
      <c r="B36" s="24"/>
      <c r="C36" s="19"/>
      <c r="D36" s="24"/>
      <c r="E36" s="346"/>
      <c r="G36" s="24"/>
      <c r="H36" s="24"/>
      <c r="I36" s="24"/>
      <c r="J36" s="24"/>
      <c r="K36" s="24"/>
    </row>
    <row r="37" spans="1:11">
      <c r="A37" s="24"/>
      <c r="B37" s="24"/>
      <c r="C37" s="19" t="s">
        <v>791</v>
      </c>
      <c r="D37" s="24"/>
      <c r="E37" s="24"/>
      <c r="F37" s="24"/>
      <c r="G37" s="24"/>
      <c r="H37" s="24"/>
      <c r="I37" s="24"/>
      <c r="J37" s="24"/>
      <c r="K37" s="24"/>
    </row>
    <row r="38" spans="1:11">
      <c r="A38" s="24"/>
      <c r="B38" s="24"/>
      <c r="C38" s="22" t="s">
        <v>792</v>
      </c>
      <c r="D38" s="24"/>
      <c r="E38" s="24"/>
      <c r="F38" s="24"/>
      <c r="G38" s="24"/>
      <c r="H38" s="24"/>
      <c r="I38" s="24"/>
      <c r="J38" s="24"/>
      <c r="K38" s="24"/>
    </row>
    <row r="39" spans="1:11">
      <c r="A39" s="24"/>
      <c r="B39" s="24"/>
      <c r="C39" s="24"/>
      <c r="D39" s="24"/>
      <c r="E39" s="24"/>
      <c r="F39" s="24"/>
      <c r="G39" s="24"/>
      <c r="H39" s="24"/>
      <c r="I39" s="24"/>
      <c r="J39" s="24"/>
      <c r="K39" s="24"/>
    </row>
    <row r="40" spans="1:11">
      <c r="A40" s="24"/>
      <c r="B40" s="24"/>
      <c r="C40" s="24"/>
      <c r="D40" s="24"/>
      <c r="E40" s="346"/>
      <c r="F40" s="24"/>
      <c r="G40" s="24"/>
      <c r="H40" s="24"/>
      <c r="I40" s="24"/>
      <c r="J40" s="24"/>
      <c r="K40" s="24"/>
    </row>
    <row r="41" spans="1:11">
      <c r="A41" s="24"/>
      <c r="B41" s="24"/>
      <c r="C41" s="24"/>
      <c r="D41" s="24"/>
      <c r="E41" s="24"/>
      <c r="F41" s="24"/>
      <c r="G41" s="24"/>
      <c r="H41" s="24"/>
      <c r="I41" s="24"/>
      <c r="J41" s="24"/>
      <c r="K41" s="24"/>
    </row>
    <row r="42" spans="1:11">
      <c r="B42" s="1"/>
      <c r="C42" s="1"/>
      <c r="D42" s="317"/>
      <c r="E42" s="1"/>
      <c r="F42" s="1"/>
      <c r="G42" s="1"/>
    </row>
    <row r="43" spans="1:11">
      <c r="A43" s="24"/>
      <c r="B43" s="65" t="s">
        <v>793</v>
      </c>
      <c r="C43" s="24"/>
      <c r="D43" s="314"/>
    </row>
    <row r="44" spans="1:11">
      <c r="A44" s="24"/>
      <c r="B44" s="24"/>
      <c r="C44" s="24"/>
      <c r="D44" s="314"/>
    </row>
    <row r="45" spans="1:11">
      <c r="A45" s="24"/>
      <c r="B45" s="24" t="s">
        <v>794</v>
      </c>
      <c r="C45" s="24"/>
      <c r="D45" s="314"/>
    </row>
    <row r="46" spans="1:11">
      <c r="A46" s="24"/>
      <c r="B46" s="24"/>
      <c r="C46" s="24"/>
      <c r="D46" s="321" t="s">
        <v>795</v>
      </c>
      <c r="E46" s="319"/>
      <c r="F46" s="319" t="s">
        <v>796</v>
      </c>
      <c r="G46" s="318"/>
    </row>
    <row r="47" spans="1:11">
      <c r="A47" s="24"/>
      <c r="B47" s="24"/>
      <c r="C47" s="24"/>
      <c r="D47" s="314"/>
    </row>
    <row r="48" spans="1:11">
      <c r="A48" s="24"/>
      <c r="B48" s="24"/>
      <c r="C48" s="37" t="s">
        <v>797</v>
      </c>
      <c r="D48" s="354">
        <v>500</v>
      </c>
      <c r="E48" s="57"/>
      <c r="F48" s="354">
        <v>3216657274678.1118</v>
      </c>
    </row>
    <row r="49" spans="1:6">
      <c r="A49" s="24"/>
      <c r="B49" s="24"/>
      <c r="C49" s="37" t="s">
        <v>798</v>
      </c>
      <c r="D49" s="354">
        <v>299792458</v>
      </c>
      <c r="E49" s="57"/>
      <c r="F49" s="354">
        <v>299792458</v>
      </c>
    </row>
    <row r="50" spans="1:6">
      <c r="A50" s="24"/>
      <c r="B50" s="24"/>
      <c r="C50" s="37"/>
      <c r="D50" s="252"/>
      <c r="E50" s="57"/>
      <c r="F50" s="57"/>
    </row>
    <row r="51" spans="1:6">
      <c r="A51" s="24"/>
      <c r="B51" s="24"/>
      <c r="C51" s="37" t="s">
        <v>799</v>
      </c>
      <c r="D51" s="314">
        <f>D49*1000</f>
        <v>299792458000</v>
      </c>
      <c r="E51" s="57"/>
      <c r="F51" s="314">
        <f>F49*1000</f>
        <v>299792458000</v>
      </c>
    </row>
    <row r="52" spans="1:6">
      <c r="A52" s="24"/>
      <c r="B52" s="24"/>
      <c r="C52" s="37" t="s">
        <v>800</v>
      </c>
      <c r="D52" s="314">
        <f>D51*1000</f>
        <v>299792458000000</v>
      </c>
      <c r="E52" s="57"/>
      <c r="F52" s="314">
        <f>F51*1000</f>
        <v>299792458000000</v>
      </c>
    </row>
    <row r="53" spans="1:6">
      <c r="A53" s="24"/>
      <c r="B53" s="24"/>
      <c r="C53" s="37" t="s">
        <v>801</v>
      </c>
      <c r="D53" s="314">
        <f>D52*1000</f>
        <v>2.99792458E+17</v>
      </c>
      <c r="E53" s="57"/>
      <c r="F53" s="314">
        <f>F52*1000</f>
        <v>2.99792458E+17</v>
      </c>
    </row>
    <row r="54" spans="1:6">
      <c r="A54" s="24"/>
      <c r="B54" s="24"/>
      <c r="C54" s="37" t="s">
        <v>802</v>
      </c>
      <c r="D54" s="314">
        <f>D53*1000</f>
        <v>2.9979245800000002E+20</v>
      </c>
      <c r="E54" s="57"/>
      <c r="F54" s="314">
        <f>F53*1000</f>
        <v>2.9979245800000002E+20</v>
      </c>
    </row>
    <row r="55" spans="1:6">
      <c r="A55" s="24"/>
      <c r="B55" s="24"/>
      <c r="C55" s="37"/>
      <c r="D55" s="252"/>
      <c r="E55" s="57"/>
      <c r="F55" s="57"/>
    </row>
    <row r="56" spans="1:6">
      <c r="A56" s="24"/>
      <c r="B56" s="24"/>
      <c r="C56" s="37" t="s">
        <v>803</v>
      </c>
      <c r="D56" s="314">
        <f>D54/D48</f>
        <v>5.99584916E+17</v>
      </c>
      <c r="E56" s="57"/>
      <c r="F56" s="314">
        <f>F54/F48</f>
        <v>93200000</v>
      </c>
    </row>
    <row r="57" spans="1:6">
      <c r="A57" s="24"/>
      <c r="B57" s="24"/>
      <c r="C57" s="37"/>
      <c r="D57" s="57"/>
      <c r="E57" s="57"/>
      <c r="F57" s="57"/>
    </row>
    <row r="58" spans="1:6">
      <c r="A58" s="24"/>
      <c r="B58" s="24"/>
      <c r="C58" s="37" t="s">
        <v>804</v>
      </c>
      <c r="D58" s="322">
        <f>D56/1000000</f>
        <v>599584916000</v>
      </c>
      <c r="E58" s="57"/>
      <c r="F58" s="322">
        <f>F56/1000000</f>
        <v>93.2</v>
      </c>
    </row>
    <row r="59" spans="1:6">
      <c r="A59" s="24"/>
      <c r="B59" s="24"/>
      <c r="C59" s="24"/>
      <c r="D59" s="57"/>
      <c r="E59" s="57"/>
      <c r="F59" s="57"/>
    </row>
    <row r="60" spans="1:6">
      <c r="A60" s="24"/>
      <c r="B60" s="24"/>
      <c r="C60" s="24"/>
      <c r="D60" s="323"/>
      <c r="E60" s="323"/>
      <c r="F60" s="323"/>
    </row>
    <row r="61" spans="1:6">
      <c r="A61" s="24"/>
      <c r="B61" s="24"/>
      <c r="C61" s="24"/>
      <c r="D61" s="57"/>
      <c r="E61" s="57"/>
      <c r="F61" s="57"/>
    </row>
    <row r="62" spans="1:6">
      <c r="A62" s="24"/>
      <c r="B62" s="65" t="s">
        <v>805</v>
      </c>
      <c r="C62" s="24"/>
      <c r="D62" s="57"/>
      <c r="E62" s="57"/>
      <c r="F62" s="57"/>
    </row>
    <row r="63" spans="1:6">
      <c r="A63" s="24"/>
      <c r="B63" s="24"/>
      <c r="C63" s="24"/>
      <c r="D63" s="57"/>
      <c r="E63" s="57"/>
      <c r="F63" s="57"/>
    </row>
    <row r="64" spans="1:6">
      <c r="A64" s="24"/>
      <c r="B64" s="24"/>
      <c r="C64" s="37" t="s">
        <v>806</v>
      </c>
      <c r="D64" s="354">
        <v>600000000</v>
      </c>
      <c r="E64" s="57"/>
      <c r="F64" s="355">
        <v>93.2</v>
      </c>
    </row>
    <row r="65" spans="1:9">
      <c r="A65" s="24"/>
      <c r="B65" s="24"/>
      <c r="C65" s="37" t="s">
        <v>807</v>
      </c>
      <c r="D65" s="354">
        <v>299792458</v>
      </c>
      <c r="E65" s="57"/>
      <c r="F65" s="354">
        <v>299792458</v>
      </c>
    </row>
    <row r="66" spans="1:9">
      <c r="A66" s="24"/>
      <c r="B66" s="24"/>
      <c r="C66" s="37"/>
      <c r="D66" s="57"/>
      <c r="E66" s="57"/>
      <c r="F66" s="57"/>
    </row>
    <row r="67" spans="1:9">
      <c r="A67" s="24"/>
      <c r="B67" s="24"/>
      <c r="C67" s="37" t="s">
        <v>808</v>
      </c>
      <c r="D67" s="314">
        <f>D64*1000000</f>
        <v>600000000000000</v>
      </c>
      <c r="E67" s="314"/>
      <c r="F67" s="314">
        <f>F64*1000000</f>
        <v>93200000</v>
      </c>
    </row>
    <row r="68" spans="1:9">
      <c r="A68" s="24"/>
      <c r="B68" s="24"/>
      <c r="C68" s="37" t="s">
        <v>802</v>
      </c>
      <c r="D68" s="314">
        <f>D65*1000*1000000000</f>
        <v>2.9979245800000002E+20</v>
      </c>
      <c r="E68" s="314"/>
      <c r="F68" s="314">
        <f>F65*1000*1000000000</f>
        <v>2.9979245800000002E+20</v>
      </c>
    </row>
    <row r="69" spans="1:9">
      <c r="A69" s="24"/>
      <c r="B69" s="24"/>
      <c r="C69" s="37"/>
      <c r="D69" s="57"/>
      <c r="E69" s="57"/>
      <c r="F69" s="57"/>
    </row>
    <row r="70" spans="1:9">
      <c r="A70" s="24"/>
      <c r="B70" s="24"/>
      <c r="C70" s="37" t="s">
        <v>797</v>
      </c>
      <c r="D70" s="57">
        <f>D68/D67</f>
        <v>499654.09666666668</v>
      </c>
      <c r="E70" s="57"/>
      <c r="F70" s="314">
        <f>F68/F67</f>
        <v>3216657274678.1118</v>
      </c>
    </row>
    <row r="71" spans="1:9">
      <c r="A71" s="24"/>
      <c r="B71" s="24"/>
      <c r="C71" s="24"/>
      <c r="D71" s="324"/>
    </row>
    <row r="72" spans="1:9">
      <c r="A72" s="24"/>
      <c r="B72" s="24"/>
      <c r="C72" s="24"/>
      <c r="D72" s="325"/>
      <c r="E72" s="288"/>
      <c r="F72" s="288"/>
    </row>
    <row r="73" spans="1:9">
      <c r="A73" s="24"/>
      <c r="B73" s="24"/>
      <c r="C73" s="24"/>
      <c r="D73" s="324"/>
    </row>
    <row r="74" spans="1:9">
      <c r="A74" s="24"/>
      <c r="B74" s="24"/>
      <c r="C74" s="24"/>
      <c r="D74" s="24"/>
      <c r="E74" s="24"/>
      <c r="F74" s="24"/>
      <c r="G74" s="24"/>
      <c r="H74" s="24"/>
      <c r="I74" s="24"/>
    </row>
    <row r="75" spans="1:9">
      <c r="A75" s="24"/>
      <c r="B75" s="24"/>
      <c r="C75" s="24"/>
      <c r="D75" s="24"/>
      <c r="E75" s="24"/>
      <c r="F75" s="24"/>
      <c r="G75" s="24"/>
      <c r="H75" s="24"/>
      <c r="I75" s="24"/>
    </row>
    <row r="76" spans="1:9">
      <c r="A76" s="24"/>
      <c r="B76" s="24"/>
      <c r="C76" s="24"/>
      <c r="D76" s="24"/>
      <c r="E76" s="24"/>
      <c r="F76" s="24"/>
      <c r="G76" s="24"/>
      <c r="H76" s="24"/>
      <c r="I76" s="24"/>
    </row>
    <row r="77" spans="1:9">
      <c r="A77" s="24"/>
      <c r="B77" s="24"/>
      <c r="C77" s="24"/>
      <c r="D77" s="24"/>
      <c r="E77" s="24"/>
      <c r="F77" s="24"/>
      <c r="G77" s="24"/>
      <c r="H77" s="24"/>
      <c r="I77" s="24"/>
    </row>
    <row r="78" spans="1:9">
      <c r="A78" s="24"/>
      <c r="B78" s="24"/>
      <c r="C78" s="347" t="s">
        <v>868</v>
      </c>
      <c r="D78" s="24"/>
      <c r="E78" s="24"/>
      <c r="F78" s="24"/>
      <c r="G78" s="24"/>
      <c r="H78" s="24"/>
      <c r="I78" s="24"/>
    </row>
    <row r="79" spans="1:9">
      <c r="A79" s="24"/>
      <c r="B79" s="24"/>
      <c r="C79" s="24" t="s">
        <v>869</v>
      </c>
      <c r="D79" s="24"/>
      <c r="E79" s="24"/>
      <c r="F79" s="24"/>
      <c r="G79" s="24"/>
      <c r="H79" s="24"/>
      <c r="I79" s="24"/>
    </row>
    <row r="80" spans="1:9">
      <c r="A80" s="24"/>
      <c r="B80" s="24"/>
      <c r="C80" s="347" t="s">
        <v>870</v>
      </c>
      <c r="D80" s="24"/>
      <c r="E80" s="24"/>
      <c r="F80" s="24"/>
      <c r="G80" s="24"/>
      <c r="H80" s="24"/>
      <c r="I80" s="24"/>
    </row>
    <row r="81" spans="1:9">
      <c r="A81" s="24"/>
      <c r="B81" s="24"/>
      <c r="C81" s="24" t="s">
        <v>871</v>
      </c>
      <c r="D81" s="24"/>
      <c r="E81" s="24"/>
      <c r="F81" s="24"/>
      <c r="G81" s="24"/>
      <c r="H81" s="24"/>
      <c r="I81" s="24"/>
    </row>
    <row r="82" spans="1:9">
      <c r="A82" s="24"/>
      <c r="B82" s="24"/>
      <c r="C82" s="24"/>
    </row>
    <row r="83" spans="1:9">
      <c r="A83" s="24"/>
      <c r="B83" s="24"/>
      <c r="C83" s="37" t="s">
        <v>814</v>
      </c>
      <c r="E83" s="56" t="s">
        <v>815</v>
      </c>
      <c r="F83" s="56" t="s">
        <v>816</v>
      </c>
      <c r="G83" s="56" t="s">
        <v>817</v>
      </c>
      <c r="H83" s="56" t="s">
        <v>762</v>
      </c>
      <c r="I83" s="56" t="s">
        <v>818</v>
      </c>
    </row>
    <row r="84" spans="1:9">
      <c r="A84" s="24"/>
      <c r="B84" s="24"/>
      <c r="C84" s="37"/>
      <c r="E84" s="326">
        <v>650</v>
      </c>
      <c r="F84" s="326">
        <v>650</v>
      </c>
      <c r="G84" s="326">
        <v>650</v>
      </c>
      <c r="H84" s="326">
        <v>650</v>
      </c>
      <c r="I84" s="326">
        <v>650</v>
      </c>
    </row>
    <row r="85" spans="1:9">
      <c r="A85" s="24"/>
      <c r="B85" s="24"/>
      <c r="C85" s="37"/>
    </row>
    <row r="86" spans="1:9">
      <c r="A86" s="24"/>
      <c r="B86" s="24"/>
      <c r="C86" s="37" t="s">
        <v>819</v>
      </c>
      <c r="D86" t="s">
        <v>790</v>
      </c>
      <c r="E86" s="322">
        <f>E96/E84</f>
        <v>4.6121916615384621E+17</v>
      </c>
      <c r="F86" s="322">
        <f>E95/F84</f>
        <v>461219166153846.12</v>
      </c>
      <c r="G86" s="322">
        <f>E94/G84</f>
        <v>461219166153.84613</v>
      </c>
      <c r="H86" s="322">
        <f>E93/H84</f>
        <v>461219166.15384614</v>
      </c>
      <c r="I86" s="322">
        <f>E92/I84</f>
        <v>461219.16615384613</v>
      </c>
    </row>
    <row r="87" spans="1:9">
      <c r="A87" s="24"/>
      <c r="B87" s="24"/>
      <c r="C87" s="37"/>
      <c r="D87" t="s">
        <v>820</v>
      </c>
      <c r="E87" s="322">
        <f t="shared" ref="E87:I88" si="0">E86/1000</f>
        <v>461219166153846.19</v>
      </c>
      <c r="F87" s="322">
        <f t="shared" si="0"/>
        <v>461219166153.84613</v>
      </c>
      <c r="G87" s="322">
        <f t="shared" si="0"/>
        <v>461219166.15384614</v>
      </c>
      <c r="H87" s="322">
        <f t="shared" si="0"/>
        <v>461219.16615384613</v>
      </c>
      <c r="I87" s="322">
        <f t="shared" si="0"/>
        <v>461.21916615384612</v>
      </c>
    </row>
    <row r="88" spans="1:9">
      <c r="A88" s="24"/>
      <c r="B88" s="24"/>
      <c r="C88" s="37"/>
      <c r="D88" t="s">
        <v>821</v>
      </c>
      <c r="E88" s="322">
        <f t="shared" si="0"/>
        <v>461219166153.84619</v>
      </c>
      <c r="F88" s="322">
        <f t="shared" si="0"/>
        <v>461219166.15384614</v>
      </c>
      <c r="G88" s="322">
        <f t="shared" si="0"/>
        <v>461219.16615384613</v>
      </c>
      <c r="H88" s="322">
        <f t="shared" si="0"/>
        <v>461.21916615384612</v>
      </c>
      <c r="I88" s="322">
        <f t="shared" si="0"/>
        <v>0.46121916615384612</v>
      </c>
    </row>
    <row r="89" spans="1:9">
      <c r="A89" s="24"/>
      <c r="B89" s="24"/>
      <c r="C89" s="37"/>
    </row>
    <row r="90" spans="1:9">
      <c r="A90" s="24"/>
      <c r="B90" s="24"/>
      <c r="C90" s="37"/>
    </row>
    <row r="91" spans="1:9">
      <c r="A91" s="24"/>
      <c r="B91" s="24"/>
      <c r="C91" s="37"/>
    </row>
    <row r="92" spans="1:9">
      <c r="A92" s="24"/>
      <c r="B92" s="24"/>
      <c r="C92" s="37" t="s">
        <v>822</v>
      </c>
      <c r="E92" s="326">
        <v>299792458</v>
      </c>
      <c r="F92" t="s">
        <v>823</v>
      </c>
    </row>
    <row r="93" spans="1:9">
      <c r="A93" s="24"/>
      <c r="B93" s="24"/>
      <c r="C93" s="24"/>
      <c r="E93" s="314">
        <f>E92*1000</f>
        <v>299792458000</v>
      </c>
      <c r="F93" t="s">
        <v>824</v>
      </c>
    </row>
    <row r="94" spans="1:9">
      <c r="A94" s="24"/>
      <c r="B94" s="24"/>
      <c r="C94" s="24"/>
      <c r="E94" s="314">
        <f>E93*1000</f>
        <v>299792458000000</v>
      </c>
      <c r="F94" t="s">
        <v>825</v>
      </c>
    </row>
    <row r="95" spans="1:9">
      <c r="A95" s="24"/>
      <c r="B95" s="24"/>
      <c r="C95" s="24"/>
      <c r="E95" s="314">
        <f>E94*1000</f>
        <v>2.99792458E+17</v>
      </c>
      <c r="F95" t="s">
        <v>826</v>
      </c>
    </row>
    <row r="96" spans="1:9">
      <c r="A96" s="24"/>
      <c r="B96" s="24"/>
      <c r="C96" s="24"/>
      <c r="E96" s="314">
        <f>E95*1000</f>
        <v>2.9979245800000002E+20</v>
      </c>
      <c r="F96" t="s">
        <v>827</v>
      </c>
    </row>
    <row r="97" spans="1:9">
      <c r="A97" s="24"/>
      <c r="B97" s="24"/>
      <c r="C97" s="24"/>
    </row>
    <row r="98" spans="1:9">
      <c r="A98" s="24"/>
      <c r="B98" s="24"/>
      <c r="C98" s="24"/>
    </row>
    <row r="99" spans="1:9">
      <c r="A99" s="24"/>
      <c r="B99" s="24"/>
      <c r="C99" s="24"/>
      <c r="D99" s="24"/>
      <c r="E99" s="24"/>
      <c r="F99" s="24"/>
      <c r="G99" s="24"/>
      <c r="H99" s="24"/>
      <c r="I99" s="24"/>
    </row>
    <row r="100" spans="1:9">
      <c r="A100" s="24"/>
      <c r="B100" s="24"/>
      <c r="C100" s="24"/>
      <c r="D100" s="24"/>
      <c r="E100" s="24"/>
      <c r="F100" s="24"/>
      <c r="G100" s="24"/>
      <c r="H100" s="24"/>
      <c r="I100" s="24"/>
    </row>
    <row r="101" spans="1:9">
      <c r="A101" s="24"/>
      <c r="B101" s="24"/>
      <c r="C101" s="24"/>
      <c r="D101" s="24"/>
      <c r="E101" s="24"/>
      <c r="F101" s="24"/>
      <c r="G101" s="24"/>
      <c r="H101" s="24"/>
      <c r="I101" s="24"/>
    </row>
    <row r="102" spans="1:9">
      <c r="A102" s="24"/>
      <c r="B102" s="24"/>
      <c r="C102" s="24"/>
    </row>
    <row r="103" spans="1:9">
      <c r="A103" s="24"/>
      <c r="B103" s="24"/>
      <c r="C103" s="24"/>
    </row>
    <row r="104" spans="1:9">
      <c r="A104" s="24"/>
      <c r="B104" s="24"/>
      <c r="C104" s="24"/>
    </row>
    <row r="105" spans="1:9">
      <c r="A105" s="24"/>
      <c r="B105" s="24"/>
      <c r="C105" s="24" t="s">
        <v>828</v>
      </c>
    </row>
    <row r="106" spans="1:9">
      <c r="A106" s="24"/>
      <c r="B106" s="24"/>
      <c r="C106" s="24"/>
    </row>
    <row r="107" spans="1:9">
      <c r="A107" s="24"/>
      <c r="B107" s="24"/>
      <c r="C107" s="37" t="s">
        <v>789</v>
      </c>
      <c r="D107" s="326">
        <v>450</v>
      </c>
      <c r="E107" t="s">
        <v>829</v>
      </c>
    </row>
    <row r="108" spans="1:9">
      <c r="A108" s="24"/>
      <c r="B108" s="24"/>
      <c r="C108" s="37"/>
    </row>
    <row r="109" spans="1:9">
      <c r="A109" s="24"/>
      <c r="B109" s="24"/>
      <c r="C109" s="37" t="s">
        <v>830</v>
      </c>
      <c r="D109" s="322">
        <v>300000</v>
      </c>
      <c r="E109" t="s">
        <v>831</v>
      </c>
    </row>
    <row r="110" spans="1:9">
      <c r="A110" s="24"/>
      <c r="B110" s="24"/>
      <c r="C110" s="37"/>
      <c r="D110" s="322">
        <f>D109*1000</f>
        <v>300000000</v>
      </c>
      <c r="E110" t="s">
        <v>68</v>
      </c>
    </row>
    <row r="111" spans="1:9">
      <c r="A111" s="24"/>
      <c r="B111" s="24"/>
      <c r="C111" s="37"/>
      <c r="D111" s="322">
        <f>D110*1000</f>
        <v>300000000000</v>
      </c>
      <c r="E111" t="s">
        <v>344</v>
      </c>
    </row>
    <row r="112" spans="1:9">
      <c r="A112" s="24"/>
      <c r="B112" s="24"/>
      <c r="C112" s="37"/>
      <c r="D112" s="322">
        <f>D111*1000</f>
        <v>300000000000000</v>
      </c>
      <c r="E112" t="s">
        <v>832</v>
      </c>
    </row>
    <row r="113" spans="1:5">
      <c r="A113" s="24"/>
      <c r="B113" s="24"/>
      <c r="C113" s="37"/>
      <c r="D113" s="322">
        <f>D112*1000</f>
        <v>3E+17</v>
      </c>
      <c r="E113" t="s">
        <v>829</v>
      </c>
    </row>
    <row r="114" spans="1:5">
      <c r="A114" s="24"/>
      <c r="B114" s="24"/>
      <c r="C114" s="37"/>
      <c r="D114" s="322"/>
    </row>
    <row r="115" spans="1:5">
      <c r="A115" s="24"/>
      <c r="B115" s="24"/>
      <c r="C115" s="37" t="s">
        <v>833</v>
      </c>
      <c r="D115" s="322">
        <f>D113/D107</f>
        <v>666666666666666.62</v>
      </c>
      <c r="E115" t="s">
        <v>811</v>
      </c>
    </row>
    <row r="116" spans="1:5">
      <c r="A116" s="24"/>
      <c r="B116" s="24"/>
      <c r="C116" s="37"/>
      <c r="D116" s="322">
        <f>D115/1000</f>
        <v>666666666666.66663</v>
      </c>
      <c r="E116" t="s">
        <v>834</v>
      </c>
    </row>
    <row r="117" spans="1:5">
      <c r="A117" s="24"/>
      <c r="B117" s="24"/>
      <c r="C117" s="37"/>
      <c r="D117" s="322">
        <f>D116/1000</f>
        <v>666666666.66666663</v>
      </c>
      <c r="E117" t="s">
        <v>835</v>
      </c>
    </row>
    <row r="118" spans="1:5">
      <c r="A118" s="24"/>
      <c r="B118" s="24"/>
      <c r="C118" s="37"/>
    </row>
    <row r="119" spans="1:5">
      <c r="A119" s="24"/>
      <c r="B119" s="24"/>
      <c r="C119" s="37"/>
    </row>
    <row r="120" spans="1:5" ht="13.5" thickBot="1">
      <c r="A120" s="24"/>
      <c r="B120" s="24"/>
      <c r="C120" s="348"/>
      <c r="D120" s="327"/>
      <c r="E120" s="327"/>
    </row>
    <row r="121" spans="1:5">
      <c r="A121" s="24"/>
      <c r="B121" s="24"/>
      <c r="C121" s="339"/>
      <c r="D121" s="38"/>
      <c r="E121" s="38"/>
    </row>
    <row r="122" spans="1:5">
      <c r="A122" s="24"/>
      <c r="B122" s="24"/>
      <c r="C122" s="24" t="s">
        <v>837</v>
      </c>
      <c r="D122" s="38"/>
      <c r="E122" s="38"/>
    </row>
    <row r="123" spans="1:5">
      <c r="A123" s="24"/>
      <c r="B123" s="24"/>
      <c r="C123" s="24" t="s">
        <v>838</v>
      </c>
    </row>
    <row r="124" spans="1:5">
      <c r="A124" s="24"/>
      <c r="B124" s="24"/>
      <c r="C124" s="37" t="s">
        <v>833</v>
      </c>
      <c r="D124" s="326">
        <v>93.2</v>
      </c>
      <c r="E124" t="s">
        <v>835</v>
      </c>
    </row>
    <row r="125" spans="1:5">
      <c r="A125" s="24"/>
      <c r="B125" s="24"/>
      <c r="C125" s="37"/>
      <c r="D125" s="322">
        <f>1000000*D124</f>
        <v>93200000</v>
      </c>
      <c r="E125" t="s">
        <v>811</v>
      </c>
    </row>
    <row r="126" spans="1:5">
      <c r="A126" s="24"/>
      <c r="B126" s="24"/>
      <c r="C126" s="37"/>
    </row>
    <row r="127" spans="1:5">
      <c r="A127" s="24"/>
      <c r="B127" s="24"/>
      <c r="C127" s="37" t="s">
        <v>830</v>
      </c>
      <c r="D127" s="322">
        <v>300000</v>
      </c>
      <c r="E127" t="s">
        <v>831</v>
      </c>
    </row>
    <row r="128" spans="1:5">
      <c r="A128" s="24"/>
      <c r="B128" s="24"/>
      <c r="C128" s="37"/>
    </row>
    <row r="129" spans="1:10">
      <c r="A129" s="24"/>
      <c r="B129" s="24"/>
      <c r="C129" s="37" t="s">
        <v>836</v>
      </c>
      <c r="D129">
        <f>D127/D125</f>
        <v>3.2188841201716738E-3</v>
      </c>
      <c r="E129" t="s">
        <v>831</v>
      </c>
    </row>
    <row r="130" spans="1:10">
      <c r="A130" s="24"/>
      <c r="B130" s="24"/>
      <c r="C130" s="37"/>
      <c r="D130">
        <f>D129*1000</f>
        <v>3.218884120171674</v>
      </c>
      <c r="E130" t="s">
        <v>68</v>
      </c>
    </row>
    <row r="131" spans="1:10">
      <c r="A131" s="24"/>
      <c r="B131" s="24"/>
      <c r="C131" s="37"/>
      <c r="D131">
        <f>D130*1000</f>
        <v>3218.8841201716741</v>
      </c>
      <c r="E131" t="s">
        <v>344</v>
      </c>
    </row>
    <row r="132" spans="1:10">
      <c r="A132" s="24"/>
      <c r="B132" s="24"/>
      <c r="C132" s="37"/>
      <c r="D132">
        <f>D131*1000</f>
        <v>3218884.1201716741</v>
      </c>
      <c r="E132" t="s">
        <v>816</v>
      </c>
    </row>
    <row r="133" spans="1:10">
      <c r="A133" s="24"/>
      <c r="B133" s="24"/>
      <c r="C133" s="37"/>
      <c r="D133">
        <f>D132*1000</f>
        <v>3218884120.1716743</v>
      </c>
      <c r="E133" t="s">
        <v>815</v>
      </c>
    </row>
    <row r="134" spans="1:10">
      <c r="A134" s="24"/>
      <c r="B134" s="24"/>
      <c r="C134" s="24"/>
    </row>
    <row r="135" spans="1:10">
      <c r="A135" s="24"/>
      <c r="B135" s="24"/>
      <c r="C135" s="24"/>
      <c r="D135" s="322">
        <f>D133/450</f>
        <v>7153075.8226037202</v>
      </c>
      <c r="E135" t="s">
        <v>372</v>
      </c>
    </row>
    <row r="136" spans="1:10">
      <c r="A136" s="24"/>
      <c r="B136" s="24"/>
      <c r="C136" s="24"/>
    </row>
    <row r="137" spans="1:10">
      <c r="A137" s="24"/>
      <c r="B137" s="24"/>
      <c r="C137" s="24"/>
      <c r="D137" s="24"/>
      <c r="E137" s="24"/>
      <c r="F137" s="24"/>
      <c r="G137" s="24"/>
      <c r="H137" s="24"/>
      <c r="I137" s="24"/>
      <c r="J137" s="24"/>
    </row>
    <row r="138" spans="1:10">
      <c r="A138" s="24"/>
      <c r="B138" s="24"/>
      <c r="C138" s="24"/>
      <c r="D138" s="24"/>
      <c r="E138" s="24"/>
      <c r="F138" s="24"/>
      <c r="G138" s="24"/>
      <c r="H138" s="24"/>
      <c r="I138" s="24"/>
      <c r="J138" s="24"/>
    </row>
    <row r="139" spans="1:10">
      <c r="A139" s="24"/>
      <c r="B139" s="24"/>
      <c r="C139" s="24"/>
      <c r="D139" s="24"/>
      <c r="E139" s="24"/>
      <c r="F139" s="24"/>
      <c r="G139" s="24"/>
      <c r="H139" s="24"/>
      <c r="I139" s="24"/>
      <c r="J139" s="24"/>
    </row>
    <row r="140" spans="1:10">
      <c r="A140" s="24"/>
      <c r="B140" s="24"/>
      <c r="C140" s="24"/>
      <c r="D140" s="24"/>
      <c r="E140" s="24"/>
      <c r="F140" s="24"/>
      <c r="G140" s="24"/>
      <c r="H140" s="24"/>
      <c r="I140" s="24"/>
      <c r="J140" s="24"/>
    </row>
    <row r="141" spans="1:10">
      <c r="A141" s="24"/>
      <c r="B141" s="24"/>
      <c r="C141" s="37"/>
      <c r="D141" s="24"/>
      <c r="E141" s="24"/>
      <c r="F141" s="24"/>
      <c r="G141" s="24"/>
      <c r="H141" s="24"/>
      <c r="I141" s="24"/>
      <c r="J141" s="24"/>
    </row>
    <row r="142" spans="1:10">
      <c r="A142" s="24"/>
      <c r="B142" s="24"/>
      <c r="C142" s="24"/>
      <c r="D142" s="24"/>
      <c r="E142" s="24"/>
      <c r="F142" s="24"/>
      <c r="G142" s="24"/>
      <c r="H142" s="24"/>
      <c r="I142" s="24"/>
      <c r="J142" s="24"/>
    </row>
    <row r="143" spans="1:10">
      <c r="A143" s="24"/>
      <c r="B143" s="24"/>
      <c r="C143" s="24" t="s">
        <v>845</v>
      </c>
      <c r="D143" s="24"/>
      <c r="E143" s="24"/>
      <c r="F143" s="24"/>
      <c r="G143" s="24"/>
      <c r="H143" s="24"/>
      <c r="I143" s="24"/>
      <c r="J143" s="24"/>
    </row>
    <row r="144" spans="1:10">
      <c r="A144" s="24"/>
      <c r="B144" s="24"/>
      <c r="C144" s="24" t="s">
        <v>872</v>
      </c>
      <c r="D144" s="24"/>
      <c r="E144" s="24"/>
      <c r="F144" s="24"/>
      <c r="G144" s="24"/>
      <c r="H144" s="24"/>
      <c r="I144" s="24"/>
      <c r="J144" s="24"/>
    </row>
    <row r="145" spans="1:10">
      <c r="A145" s="24"/>
      <c r="B145" s="24"/>
      <c r="C145" s="24" t="s">
        <v>873</v>
      </c>
      <c r="D145" s="24"/>
      <c r="E145" s="24"/>
      <c r="F145" s="24"/>
      <c r="G145" s="24"/>
      <c r="H145" s="24"/>
      <c r="I145" s="24"/>
      <c r="J145" s="24"/>
    </row>
    <row r="146" spans="1:10">
      <c r="A146" s="24"/>
      <c r="B146" s="24"/>
      <c r="C146" s="24"/>
      <c r="D146" s="24"/>
      <c r="E146" s="24"/>
      <c r="F146" s="24"/>
      <c r="G146" s="24"/>
      <c r="H146" s="24"/>
      <c r="I146" s="24"/>
      <c r="J146" s="24"/>
    </row>
    <row r="147" spans="1:10">
      <c r="A147" s="24"/>
      <c r="B147" s="24"/>
      <c r="C147" s="24" t="s">
        <v>846</v>
      </c>
      <c r="D147" s="24"/>
      <c r="E147" s="24"/>
      <c r="F147" s="24"/>
      <c r="G147" s="24"/>
      <c r="H147" s="24"/>
      <c r="I147" s="24"/>
      <c r="J147" s="24"/>
    </row>
    <row r="148" spans="1:10">
      <c r="A148" s="24"/>
      <c r="B148" s="24"/>
      <c r="C148" s="24" t="s">
        <v>847</v>
      </c>
      <c r="D148" s="24"/>
      <c r="E148" s="24"/>
      <c r="F148" s="24"/>
      <c r="G148" s="24"/>
      <c r="H148" s="24"/>
      <c r="I148" s="24"/>
      <c r="J148" s="24"/>
    </row>
    <row r="149" spans="1:10">
      <c r="A149" s="24"/>
      <c r="B149" s="24"/>
      <c r="C149" s="24"/>
      <c r="D149" s="24"/>
      <c r="E149" s="24"/>
      <c r="F149" s="24"/>
      <c r="G149" s="24"/>
      <c r="H149" s="24"/>
      <c r="I149" s="24"/>
      <c r="J149" s="24"/>
    </row>
    <row r="150" spans="1:10">
      <c r="A150" s="24"/>
      <c r="B150" s="24"/>
      <c r="C150" s="24"/>
      <c r="F150" s="24"/>
      <c r="G150" s="24"/>
      <c r="H150" s="24"/>
      <c r="I150" s="24"/>
      <c r="J150" s="24"/>
    </row>
    <row r="151" spans="1:10">
      <c r="A151" s="24"/>
      <c r="B151" s="24"/>
      <c r="C151" s="24" t="s">
        <v>848</v>
      </c>
      <c r="F151" s="24"/>
      <c r="G151" s="24"/>
      <c r="H151" s="24"/>
      <c r="I151" s="24"/>
      <c r="J151" s="24"/>
    </row>
    <row r="152" spans="1:10">
      <c r="A152" s="24"/>
      <c r="B152" s="24"/>
      <c r="C152" s="24" t="s">
        <v>849</v>
      </c>
      <c r="F152" s="24"/>
      <c r="G152" s="24"/>
      <c r="H152" s="24"/>
      <c r="I152" s="24"/>
      <c r="J152" s="24"/>
    </row>
    <row r="153" spans="1:10">
      <c r="A153" s="24"/>
      <c r="B153" s="24"/>
      <c r="C153" s="24"/>
      <c r="F153" s="24"/>
      <c r="G153" s="24"/>
      <c r="H153" s="24"/>
      <c r="I153" s="24"/>
      <c r="J153" s="24"/>
    </row>
    <row r="154" spans="1:10">
      <c r="A154" s="24"/>
      <c r="B154" s="24"/>
      <c r="C154" s="37" t="s">
        <v>850</v>
      </c>
      <c r="D154" s="322">
        <v>300000</v>
      </c>
      <c r="E154" t="s">
        <v>823</v>
      </c>
      <c r="F154" s="24"/>
      <c r="G154" s="24"/>
      <c r="H154" s="24"/>
      <c r="I154" s="24"/>
      <c r="J154" s="24"/>
    </row>
    <row r="155" spans="1:10">
      <c r="A155" s="24"/>
      <c r="B155" s="24"/>
      <c r="C155" s="37" t="s">
        <v>874</v>
      </c>
      <c r="D155" s="322">
        <f>365*24*60*60</f>
        <v>31536000</v>
      </c>
      <c r="E155" t="s">
        <v>851</v>
      </c>
      <c r="F155" s="24"/>
      <c r="G155" s="24"/>
      <c r="H155" s="24"/>
      <c r="I155" s="24"/>
      <c r="J155" s="24"/>
    </row>
    <row r="156" spans="1:10">
      <c r="A156" s="24"/>
      <c r="B156" s="24"/>
      <c r="C156" s="37"/>
      <c r="D156" s="322"/>
      <c r="F156" s="24"/>
      <c r="G156" s="24"/>
      <c r="H156" s="24"/>
      <c r="I156" s="24"/>
      <c r="J156" s="24"/>
    </row>
    <row r="157" spans="1:10">
      <c r="A157" s="24"/>
      <c r="B157" s="24"/>
      <c r="C157" s="37" t="s">
        <v>852</v>
      </c>
      <c r="D157" s="355">
        <v>1.6</v>
      </c>
      <c r="F157" s="24"/>
      <c r="G157" s="24"/>
      <c r="H157" s="24"/>
      <c r="I157" s="24"/>
      <c r="J157" s="24"/>
    </row>
    <row r="158" spans="1:10">
      <c r="A158" s="24"/>
      <c r="B158" s="24"/>
      <c r="C158" s="37" t="s">
        <v>853</v>
      </c>
      <c r="D158" s="322">
        <f>D157*D155</f>
        <v>50457600</v>
      </c>
      <c r="E158" t="s">
        <v>851</v>
      </c>
      <c r="F158" s="24"/>
      <c r="G158" s="24"/>
      <c r="H158" s="24"/>
      <c r="I158" s="24"/>
      <c r="J158" s="24"/>
    </row>
    <row r="159" spans="1:10">
      <c r="A159" s="24"/>
      <c r="B159" s="24"/>
      <c r="C159" s="37" t="s">
        <v>854</v>
      </c>
      <c r="D159" s="322">
        <f>D158*D154</f>
        <v>15137280000000</v>
      </c>
      <c r="E159" t="s">
        <v>831</v>
      </c>
      <c r="F159" s="24"/>
      <c r="G159" s="24"/>
      <c r="H159" s="24"/>
      <c r="I159" s="24"/>
      <c r="J159" s="24"/>
    </row>
    <row r="160" spans="1:10">
      <c r="A160" s="24"/>
      <c r="B160" s="24"/>
      <c r="C160" s="37"/>
      <c r="F160" s="24"/>
      <c r="G160" s="24"/>
      <c r="H160" s="24"/>
      <c r="I160" s="24"/>
      <c r="J160" s="24"/>
    </row>
    <row r="161" spans="1:10">
      <c r="A161" s="24"/>
      <c r="B161" s="24"/>
      <c r="C161" s="37"/>
      <c r="F161" s="24"/>
      <c r="G161" s="24"/>
      <c r="H161" s="24"/>
      <c r="I161" s="24"/>
      <c r="J161" s="24"/>
    </row>
    <row r="162" spans="1:10">
      <c r="A162" s="24"/>
      <c r="B162" s="24"/>
      <c r="C162" s="349" t="s">
        <v>855</v>
      </c>
      <c r="D162" s="355">
        <v>384400</v>
      </c>
      <c r="E162" s="315" t="s">
        <v>831</v>
      </c>
      <c r="F162" s="24"/>
      <c r="G162" s="24"/>
      <c r="H162" s="24"/>
      <c r="I162" s="24"/>
      <c r="J162" s="24"/>
    </row>
    <row r="163" spans="1:10">
      <c r="A163" s="24"/>
      <c r="B163" s="24"/>
      <c r="C163" s="29" t="s">
        <v>856</v>
      </c>
      <c r="D163">
        <f>D162/D154</f>
        <v>1.2813333333333334</v>
      </c>
      <c r="E163" s="315" t="s">
        <v>851</v>
      </c>
      <c r="F163" s="24"/>
      <c r="G163" s="24"/>
      <c r="H163" s="24"/>
      <c r="I163" s="24"/>
      <c r="J163" s="24"/>
    </row>
    <row r="164" spans="1:10">
      <c r="A164" s="24"/>
      <c r="B164" s="24"/>
      <c r="C164" s="29" t="s">
        <v>854</v>
      </c>
      <c r="D164" s="328">
        <f>D163/D155</f>
        <v>4.0630813461863692E-8</v>
      </c>
      <c r="E164" s="329" t="s">
        <v>852</v>
      </c>
      <c r="F164" s="24"/>
      <c r="G164" s="24"/>
      <c r="H164" s="24"/>
      <c r="I164" s="24"/>
      <c r="J164" s="24"/>
    </row>
    <row r="165" spans="1:10">
      <c r="A165" s="24"/>
      <c r="B165" s="24"/>
      <c r="C165" s="29" t="s">
        <v>854</v>
      </c>
      <c r="D165" s="328">
        <f>D164*365</f>
        <v>1.4830246913580248E-5</v>
      </c>
      <c r="E165" s="329" t="s">
        <v>857</v>
      </c>
      <c r="F165" s="24"/>
      <c r="G165" s="24"/>
      <c r="H165" s="24"/>
      <c r="I165" s="24"/>
      <c r="J165" s="24"/>
    </row>
    <row r="166" spans="1:10">
      <c r="A166" s="24"/>
      <c r="B166" s="24"/>
      <c r="C166" s="29" t="s">
        <v>854</v>
      </c>
      <c r="D166" s="328">
        <f>D165*24</f>
        <v>3.5592592592592598E-4</v>
      </c>
      <c r="E166" s="329" t="s">
        <v>858</v>
      </c>
      <c r="F166" s="24"/>
      <c r="G166" s="24"/>
      <c r="H166" s="24"/>
      <c r="I166" s="24"/>
      <c r="J166" s="24"/>
    </row>
    <row r="167" spans="1:10">
      <c r="A167" s="24"/>
      <c r="B167" s="24"/>
      <c r="C167" s="29" t="s">
        <v>854</v>
      </c>
      <c r="D167" s="328">
        <f>D166*60</f>
        <v>2.1355555555555558E-2</v>
      </c>
      <c r="E167" s="329" t="s">
        <v>859</v>
      </c>
      <c r="F167" s="24"/>
      <c r="G167" s="24"/>
      <c r="H167" s="24"/>
      <c r="I167" s="24"/>
      <c r="J167" s="24"/>
    </row>
    <row r="168" spans="1:10">
      <c r="A168" s="24"/>
      <c r="B168" s="24"/>
      <c r="C168" s="29" t="s">
        <v>854</v>
      </c>
      <c r="D168" s="328">
        <f>D167*60</f>
        <v>1.2813333333333334</v>
      </c>
      <c r="E168" s="329" t="s">
        <v>860</v>
      </c>
      <c r="F168" s="24"/>
      <c r="G168" s="24"/>
      <c r="H168" s="24"/>
      <c r="I168" s="24"/>
      <c r="J168" s="24"/>
    </row>
    <row r="169" spans="1:10">
      <c r="A169" s="24"/>
      <c r="B169" s="24"/>
      <c r="C169" s="24"/>
      <c r="D169" s="24"/>
      <c r="E169" s="24"/>
      <c r="F169" s="24"/>
      <c r="G169" s="24"/>
      <c r="H169" s="24"/>
      <c r="I169" s="24"/>
      <c r="J169" s="24"/>
    </row>
    <row r="170" spans="1:10">
      <c r="A170" s="24"/>
      <c r="B170" s="24"/>
      <c r="C170" s="24"/>
      <c r="D170" s="24"/>
      <c r="E170" s="24"/>
      <c r="F170" s="24"/>
      <c r="G170" s="24"/>
      <c r="H170" s="24"/>
      <c r="I170" s="24"/>
      <c r="J170" s="24"/>
    </row>
    <row r="171" spans="1:10">
      <c r="A171" s="24"/>
      <c r="B171" s="24"/>
      <c r="C171" s="24"/>
      <c r="D171" s="24"/>
      <c r="E171" s="24"/>
      <c r="F171" s="24"/>
      <c r="G171" s="24"/>
      <c r="H171" s="24"/>
      <c r="I171" s="24"/>
      <c r="J171" s="24"/>
    </row>
    <row r="172" spans="1:10">
      <c r="A172" s="24"/>
      <c r="B172" s="24"/>
      <c r="C172" s="24"/>
      <c r="D172" s="24"/>
      <c r="E172" s="24"/>
      <c r="F172" s="24"/>
      <c r="G172" s="24"/>
      <c r="H172" s="24"/>
      <c r="I172" s="24"/>
      <c r="J172" s="24"/>
    </row>
    <row r="173" spans="1:10">
      <c r="A173" s="24"/>
      <c r="B173" s="24"/>
      <c r="C173" s="24"/>
      <c r="D173" s="24"/>
      <c r="E173" s="24"/>
      <c r="F173" s="24"/>
      <c r="G173" s="24"/>
      <c r="H173" s="24"/>
      <c r="I173" s="24"/>
      <c r="J173" s="24"/>
    </row>
    <row r="174" spans="1:10">
      <c r="A174" s="24"/>
      <c r="B174" s="24"/>
      <c r="C174" s="37" t="s">
        <v>875</v>
      </c>
      <c r="D174" s="24"/>
      <c r="E174" s="24"/>
      <c r="F174" s="24"/>
      <c r="G174" s="24"/>
      <c r="H174" s="24"/>
      <c r="I174" s="24"/>
      <c r="J174" s="24"/>
    </row>
    <row r="175" spans="1:10">
      <c r="A175" s="24"/>
      <c r="B175" s="24"/>
      <c r="C175" s="356" t="s">
        <v>876</v>
      </c>
      <c r="D175" s="24"/>
      <c r="E175" s="24"/>
      <c r="F175" s="24"/>
      <c r="G175" s="24"/>
      <c r="H175" s="24"/>
      <c r="I175" s="24"/>
      <c r="J175" s="24"/>
    </row>
    <row r="176" spans="1:10">
      <c r="A176" s="24"/>
      <c r="B176" s="24"/>
      <c r="C176" s="37" t="s">
        <v>877</v>
      </c>
      <c r="D176" s="24"/>
      <c r="E176" s="24"/>
      <c r="F176" s="24"/>
      <c r="G176" s="24"/>
      <c r="H176" s="24"/>
      <c r="I176" s="24"/>
      <c r="J176" s="24"/>
    </row>
    <row r="177" spans="1:10">
      <c r="A177" s="24"/>
      <c r="B177" s="24"/>
      <c r="C177" s="37" t="s">
        <v>861</v>
      </c>
      <c r="D177" s="24"/>
      <c r="E177" s="24"/>
      <c r="F177" s="24"/>
      <c r="G177" s="24"/>
      <c r="H177" s="24"/>
      <c r="I177" s="24"/>
      <c r="J177" s="24"/>
    </row>
    <row r="178" spans="1:10">
      <c r="A178" s="24"/>
      <c r="B178" s="24"/>
      <c r="C178" s="37" t="s">
        <v>862</v>
      </c>
      <c r="D178" s="24"/>
      <c r="E178" s="24"/>
      <c r="F178" s="24"/>
      <c r="G178" s="24"/>
      <c r="H178" s="24"/>
      <c r="I178" s="24"/>
      <c r="J178" s="24"/>
    </row>
    <row r="179" spans="1:10">
      <c r="A179" s="24"/>
      <c r="B179" s="24"/>
      <c r="C179" s="37"/>
      <c r="D179" s="24"/>
      <c r="E179" s="24"/>
      <c r="F179" s="24"/>
      <c r="G179" s="24"/>
      <c r="H179" s="24"/>
      <c r="I179" s="24"/>
      <c r="J179" s="24"/>
    </row>
    <row r="180" spans="1:10">
      <c r="A180" s="24"/>
      <c r="B180" s="24"/>
      <c r="C180" s="56" t="s">
        <v>878</v>
      </c>
      <c r="D180" s="326">
        <v>2.4</v>
      </c>
      <c r="E180" s="32" t="s">
        <v>879</v>
      </c>
      <c r="G180" s="24"/>
      <c r="H180" s="24"/>
      <c r="I180" s="24"/>
      <c r="J180" s="24"/>
    </row>
    <row r="181" spans="1:10">
      <c r="A181" s="24"/>
      <c r="B181" s="24"/>
      <c r="C181" s="37" t="s">
        <v>880</v>
      </c>
      <c r="D181" s="355">
        <v>300000</v>
      </c>
      <c r="E181" s="32" t="s">
        <v>823</v>
      </c>
      <c r="F181" s="24"/>
      <c r="G181" s="24"/>
      <c r="H181" s="24"/>
      <c r="I181" s="24"/>
      <c r="J181" s="24"/>
    </row>
    <row r="182" spans="1:10">
      <c r="A182" s="24"/>
      <c r="B182" s="24"/>
      <c r="C182" s="37" t="s">
        <v>878</v>
      </c>
      <c r="D182">
        <f>D180*1000000000</f>
        <v>2400000000</v>
      </c>
      <c r="E182" t="s">
        <v>811</v>
      </c>
      <c r="F182" s="24"/>
      <c r="G182" s="24"/>
      <c r="H182" s="24"/>
      <c r="I182" s="24"/>
      <c r="J182" s="24"/>
    </row>
    <row r="183" spans="1:10">
      <c r="A183" s="24"/>
      <c r="B183" s="24"/>
      <c r="C183" s="37" t="s">
        <v>880</v>
      </c>
      <c r="D183" s="322">
        <f>D181*100000</f>
        <v>30000000000</v>
      </c>
      <c r="E183" t="s">
        <v>881</v>
      </c>
      <c r="F183" s="24"/>
      <c r="G183" s="24"/>
      <c r="H183" s="24"/>
      <c r="I183" s="24"/>
      <c r="J183" s="24"/>
    </row>
    <row r="184" spans="1:10">
      <c r="A184" s="24"/>
      <c r="B184" s="24"/>
      <c r="C184" s="37"/>
      <c r="F184" s="24"/>
      <c r="G184" s="24"/>
      <c r="H184" s="24"/>
      <c r="I184" s="24"/>
      <c r="J184" s="24"/>
    </row>
    <row r="185" spans="1:10">
      <c r="A185" s="24"/>
      <c r="B185" s="24"/>
      <c r="C185" s="37" t="s">
        <v>789</v>
      </c>
      <c r="D185">
        <f>D183/D182</f>
        <v>12.5</v>
      </c>
      <c r="E185" t="s">
        <v>212</v>
      </c>
      <c r="F185" s="24"/>
      <c r="G185" s="24"/>
      <c r="H185" s="24"/>
      <c r="I185" s="24"/>
      <c r="J185" s="24"/>
    </row>
    <row r="186" spans="1:10">
      <c r="A186" s="24"/>
      <c r="B186" s="24"/>
      <c r="C186" s="37" t="s">
        <v>882</v>
      </c>
      <c r="D186">
        <f>D185/2</f>
        <v>6.25</v>
      </c>
      <c r="E186" t="s">
        <v>212</v>
      </c>
      <c r="F186" s="24"/>
      <c r="G186" s="24"/>
      <c r="H186" s="24"/>
      <c r="I186" s="24"/>
      <c r="J186" s="24"/>
    </row>
    <row r="187" spans="1:10">
      <c r="A187" s="24"/>
      <c r="B187" s="24"/>
      <c r="C187" s="37"/>
      <c r="F187" s="24"/>
      <c r="G187" s="24"/>
      <c r="H187" s="24"/>
      <c r="I187" s="24"/>
      <c r="J187" s="24"/>
    </row>
    <row r="188" spans="1:10">
      <c r="A188" s="24"/>
      <c r="B188" s="24"/>
      <c r="C188" s="37"/>
      <c r="D188" t="str">
        <f>"Der Antennnenabstand muss größer als " &amp; ROUND(D186,2) &amp; " cm sein."</f>
        <v>Der Antennnenabstand muss größer als 6,25 cm sein.</v>
      </c>
      <c r="F188" s="24"/>
      <c r="G188" s="24"/>
      <c r="H188" s="24"/>
      <c r="I188" s="24"/>
      <c r="J188" s="24"/>
    </row>
    <row r="189" spans="1:10">
      <c r="A189" s="24"/>
      <c r="B189" s="24"/>
      <c r="C189" s="37"/>
      <c r="F189" s="24"/>
      <c r="G189" s="24"/>
      <c r="H189" s="24"/>
      <c r="I189" s="24"/>
      <c r="J189" s="24"/>
    </row>
    <row r="190" spans="1:10">
      <c r="A190" s="24"/>
      <c r="B190" s="24"/>
      <c r="C190" s="37"/>
      <c r="F190" s="24"/>
      <c r="G190" s="24"/>
      <c r="H190" s="24"/>
      <c r="I190" s="24"/>
      <c r="J190" s="24"/>
    </row>
    <row r="191" spans="1:10">
      <c r="A191" s="24"/>
      <c r="B191" s="24"/>
      <c r="C191" s="37"/>
      <c r="F191" s="24"/>
      <c r="G191" s="24"/>
      <c r="H191" s="24"/>
      <c r="I191" s="24"/>
      <c r="J191" s="24"/>
    </row>
    <row r="192" spans="1:10">
      <c r="A192" s="24"/>
      <c r="B192" s="24"/>
      <c r="C192" s="24"/>
      <c r="F192" s="24"/>
      <c r="G192" s="24"/>
      <c r="H192" s="24"/>
      <c r="I192" s="24"/>
      <c r="J192" s="24"/>
    </row>
    <row r="193" spans="1:10">
      <c r="A193" s="24"/>
      <c r="B193" s="24"/>
      <c r="C193" s="27"/>
      <c r="D193" s="24"/>
      <c r="E193" s="24"/>
      <c r="F193" s="24"/>
      <c r="G193" s="24"/>
      <c r="H193" s="24"/>
      <c r="I193" s="24"/>
      <c r="J193" s="24"/>
    </row>
    <row r="194" spans="1:10">
      <c r="A194" s="24"/>
      <c r="B194" s="24"/>
      <c r="C194" s="27"/>
      <c r="D194" s="24"/>
      <c r="E194" s="24"/>
      <c r="F194" s="24"/>
      <c r="G194" s="24"/>
      <c r="H194" s="24"/>
      <c r="I194" s="24"/>
      <c r="J194" s="24"/>
    </row>
    <row r="195" spans="1:10">
      <c r="A195" s="24"/>
      <c r="B195" s="24"/>
      <c r="C195" s="350"/>
      <c r="D195" s="24"/>
      <c r="E195" s="24"/>
      <c r="F195" s="24"/>
      <c r="G195" s="24"/>
      <c r="H195" s="24"/>
      <c r="I195" s="24"/>
      <c r="J195" s="24"/>
    </row>
    <row r="196" spans="1:10">
      <c r="A196" s="24"/>
      <c r="B196" s="24"/>
      <c r="C196" s="350"/>
      <c r="D196" s="24"/>
      <c r="E196" s="24"/>
      <c r="F196" s="24"/>
      <c r="G196" s="24"/>
      <c r="H196" s="24"/>
      <c r="I196" s="24"/>
      <c r="J196" s="24"/>
    </row>
    <row r="197" spans="1:10">
      <c r="A197" s="24"/>
      <c r="B197" s="24"/>
      <c r="C197" s="24"/>
      <c r="D197" s="24"/>
      <c r="E197" s="24"/>
      <c r="F197" s="24"/>
      <c r="G197" s="24"/>
      <c r="H197" s="24"/>
      <c r="I197" s="24"/>
      <c r="J197" s="24"/>
    </row>
    <row r="198" spans="1:10">
      <c r="A198" s="24"/>
      <c r="B198" s="24"/>
      <c r="C198" s="24"/>
      <c r="D198" s="24"/>
      <c r="E198" s="24"/>
      <c r="F198" s="24"/>
      <c r="G198" s="24"/>
      <c r="H198" s="24"/>
      <c r="I198" s="24"/>
      <c r="J198" s="24"/>
    </row>
    <row r="199" spans="1:10" ht="15">
      <c r="A199" s="24"/>
      <c r="B199" s="24"/>
      <c r="C199" s="352" t="s">
        <v>863</v>
      </c>
      <c r="D199" s="24"/>
      <c r="E199" s="24"/>
      <c r="F199" s="24"/>
      <c r="G199" s="24"/>
      <c r="H199" s="24"/>
      <c r="I199" s="24"/>
      <c r="J199" s="24"/>
    </row>
    <row r="200" spans="1:10">
      <c r="A200" s="24"/>
      <c r="B200" s="24"/>
      <c r="C200" s="24"/>
      <c r="D200" s="32"/>
      <c r="E200" s="32"/>
      <c r="F200" s="24"/>
      <c r="G200" s="24"/>
      <c r="H200" s="24"/>
      <c r="I200" s="24"/>
      <c r="J200" s="24"/>
    </row>
    <row r="201" spans="1:10">
      <c r="A201" s="24"/>
      <c r="B201" s="24"/>
      <c r="C201" s="24" t="s">
        <v>839</v>
      </c>
      <c r="D201" s="37" t="s">
        <v>833</v>
      </c>
      <c r="E201" s="355">
        <v>12500</v>
      </c>
      <c r="F201" s="32" t="s">
        <v>811</v>
      </c>
    </row>
    <row r="202" spans="1:10">
      <c r="A202" s="24"/>
      <c r="B202" s="24"/>
      <c r="C202" s="24" t="s">
        <v>840</v>
      </c>
      <c r="D202" s="37" t="s">
        <v>844</v>
      </c>
      <c r="E202" s="355">
        <v>340</v>
      </c>
      <c r="F202" s="32" t="s">
        <v>824</v>
      </c>
    </row>
    <row r="203" spans="1:10">
      <c r="A203" s="24"/>
      <c r="B203" s="24"/>
      <c r="C203" s="24" t="s">
        <v>841</v>
      </c>
      <c r="D203" s="37"/>
      <c r="E203" s="32"/>
      <c r="F203" s="32"/>
    </row>
    <row r="204" spans="1:10">
      <c r="A204" s="24"/>
      <c r="B204" s="24"/>
      <c r="C204" s="24"/>
      <c r="D204" s="37" t="s">
        <v>789</v>
      </c>
      <c r="E204" s="32">
        <f>E202/E201</f>
        <v>2.7199999999999998E-2</v>
      </c>
      <c r="F204" s="32" t="s">
        <v>68</v>
      </c>
    </row>
    <row r="205" spans="1:10">
      <c r="A205" s="24"/>
      <c r="B205" s="24"/>
      <c r="C205" s="24" t="s">
        <v>842</v>
      </c>
      <c r="D205" s="37"/>
      <c r="E205" s="32">
        <f>E204*100</f>
        <v>2.7199999999999998</v>
      </c>
      <c r="F205" s="32" t="s">
        <v>212</v>
      </c>
    </row>
    <row r="206" spans="1:10">
      <c r="A206" s="24"/>
      <c r="B206" s="24"/>
      <c r="C206" s="24" t="s">
        <v>843</v>
      </c>
      <c r="D206" s="37"/>
      <c r="E206" s="32"/>
      <c r="F206" s="32"/>
    </row>
    <row r="207" spans="1:10">
      <c r="A207" s="24"/>
      <c r="B207" s="24"/>
      <c r="C207" s="24"/>
      <c r="D207" s="37"/>
      <c r="E207" s="32"/>
      <c r="F207" s="32"/>
    </row>
    <row r="208" spans="1:10">
      <c r="A208" s="24"/>
      <c r="B208" s="24"/>
      <c r="C208" s="24"/>
      <c r="D208" s="37" t="s">
        <v>789</v>
      </c>
      <c r="E208" s="355">
        <v>0.23</v>
      </c>
      <c r="F208" s="32" t="s">
        <v>68</v>
      </c>
    </row>
    <row r="209" spans="1:6">
      <c r="A209" s="24"/>
      <c r="B209" s="24"/>
      <c r="C209" s="24"/>
      <c r="D209" s="37" t="s">
        <v>844</v>
      </c>
      <c r="E209" s="355">
        <v>340</v>
      </c>
      <c r="F209" s="32" t="s">
        <v>824</v>
      </c>
    </row>
    <row r="210" spans="1:6">
      <c r="A210" s="24"/>
      <c r="B210" s="24"/>
      <c r="C210" s="24"/>
      <c r="D210" s="37"/>
      <c r="E210" s="32"/>
      <c r="F210" s="32"/>
    </row>
    <row r="211" spans="1:6">
      <c r="A211" s="24"/>
      <c r="B211" s="24"/>
      <c r="C211" s="24"/>
      <c r="D211" s="37" t="s">
        <v>833</v>
      </c>
      <c r="E211" s="32">
        <f>E209/E208</f>
        <v>1478.2608695652173</v>
      </c>
      <c r="F211" s="32" t="s">
        <v>811</v>
      </c>
    </row>
    <row r="212" spans="1:6">
      <c r="A212" s="24"/>
      <c r="B212" s="24"/>
      <c r="C212" s="24"/>
    </row>
    <row r="213" spans="1:6">
      <c r="A213" s="24"/>
      <c r="B213" s="24"/>
      <c r="C213" s="24"/>
    </row>
    <row r="214" spans="1:6">
      <c r="A214" s="24"/>
      <c r="B214" s="24"/>
      <c r="C214" s="24"/>
    </row>
    <row r="215" spans="1:6">
      <c r="A215" s="24"/>
      <c r="B215" s="330"/>
      <c r="C215" s="24" t="s">
        <v>865</v>
      </c>
      <c r="D215" s="56" t="s">
        <v>833</v>
      </c>
      <c r="E215" s="355">
        <v>12000</v>
      </c>
      <c r="F215" t="s">
        <v>811</v>
      </c>
    </row>
    <row r="216" spans="1:6">
      <c r="A216" s="24"/>
      <c r="B216" s="24"/>
      <c r="C216" s="24" t="s">
        <v>866</v>
      </c>
      <c r="D216" s="56" t="s">
        <v>844</v>
      </c>
      <c r="E216" s="355">
        <v>343</v>
      </c>
      <c r="F216" t="s">
        <v>824</v>
      </c>
    </row>
    <row r="217" spans="1:6">
      <c r="A217" s="24"/>
      <c r="B217" s="24"/>
      <c r="C217" s="24" t="s">
        <v>867</v>
      </c>
    </row>
    <row r="218" spans="1:6">
      <c r="A218" s="24"/>
      <c r="B218" s="24"/>
      <c r="C218" s="24"/>
      <c r="D218" s="56" t="s">
        <v>789</v>
      </c>
      <c r="E218">
        <f>E216/E215</f>
        <v>2.8583333333333332E-2</v>
      </c>
      <c r="F218" t="s">
        <v>68</v>
      </c>
    </row>
    <row r="219" spans="1:6">
      <c r="A219" s="24"/>
      <c r="B219" s="24"/>
      <c r="C219" s="24"/>
      <c r="E219">
        <f>E218*100</f>
        <v>2.8583333333333334</v>
      </c>
      <c r="F219" t="s">
        <v>212</v>
      </c>
    </row>
    <row r="220" spans="1:6">
      <c r="A220" s="24"/>
      <c r="B220" s="24"/>
      <c r="C220" s="24"/>
    </row>
    <row r="221" spans="1:6">
      <c r="A221" s="24"/>
      <c r="B221" s="24"/>
      <c r="C221" s="24" t="s">
        <v>809</v>
      </c>
      <c r="D221" s="56" t="s">
        <v>789</v>
      </c>
      <c r="E221" s="355">
        <v>0.05</v>
      </c>
      <c r="F221" t="s">
        <v>68</v>
      </c>
    </row>
    <row r="222" spans="1:6">
      <c r="A222" s="24"/>
      <c r="B222" s="24"/>
      <c r="C222" s="24" t="s">
        <v>810</v>
      </c>
      <c r="D222" s="56" t="s">
        <v>844</v>
      </c>
      <c r="E222" s="355">
        <v>343</v>
      </c>
      <c r="F222" t="s">
        <v>824</v>
      </c>
    </row>
    <row r="223" spans="1:6">
      <c r="A223" s="24"/>
      <c r="B223" s="24"/>
      <c r="C223" s="24"/>
      <c r="D223" s="351"/>
    </row>
    <row r="224" spans="1:6">
      <c r="A224" s="24"/>
      <c r="B224" s="24"/>
      <c r="C224" s="24"/>
      <c r="D224" s="56" t="s">
        <v>833</v>
      </c>
      <c r="E224">
        <f>E222/E221</f>
        <v>6860</v>
      </c>
      <c r="F224" t="s">
        <v>811</v>
      </c>
    </row>
    <row r="225" spans="1:5">
      <c r="A225" s="24"/>
      <c r="B225" s="24"/>
      <c r="C225" s="24"/>
      <c r="E225" s="56" t="s">
        <v>883</v>
      </c>
    </row>
    <row r="226" spans="1:5">
      <c r="A226" s="24"/>
      <c r="B226" s="24"/>
      <c r="C226" s="24"/>
    </row>
    <row r="227" spans="1:5">
      <c r="A227" s="24"/>
      <c r="B227" s="24"/>
      <c r="C227" s="24"/>
    </row>
    <row r="228" spans="1:5">
      <c r="A228" s="24"/>
      <c r="B228" s="24"/>
      <c r="C228" s="62" t="s">
        <v>784</v>
      </c>
      <c r="D228" s="318"/>
      <c r="E228" s="318" t="s">
        <v>785</v>
      </c>
    </row>
    <row r="229" spans="1:5">
      <c r="A229" s="24"/>
      <c r="B229" s="24"/>
      <c r="C229" s="62" t="s">
        <v>864</v>
      </c>
      <c r="D229" s="318"/>
      <c r="E229" s="318" t="s">
        <v>786</v>
      </c>
    </row>
    <row r="230" spans="1:5">
      <c r="A230" s="24"/>
      <c r="B230" s="24"/>
      <c r="C230" s="24"/>
      <c r="D230" s="318"/>
      <c r="E230" s="357">
        <v>343</v>
      </c>
    </row>
    <row r="231" spans="1:5">
      <c r="A231" s="24"/>
      <c r="B231" s="24"/>
      <c r="C231" s="24"/>
      <c r="D231" s="319" t="s">
        <v>787</v>
      </c>
      <c r="E231" s="318" t="s">
        <v>824</v>
      </c>
    </row>
    <row r="232" spans="1:5">
      <c r="A232" s="24"/>
      <c r="B232" s="24"/>
      <c r="C232" s="24"/>
      <c r="D232" s="319" t="s">
        <v>788</v>
      </c>
      <c r="E232" s="319" t="s">
        <v>789</v>
      </c>
    </row>
    <row r="233" spans="1:5">
      <c r="A233" s="24"/>
      <c r="B233" s="24"/>
      <c r="C233" s="24"/>
      <c r="D233" s="318" t="s">
        <v>790</v>
      </c>
      <c r="E233" s="318" t="s">
        <v>762</v>
      </c>
    </row>
    <row r="234" spans="1:5">
      <c r="A234" s="24"/>
      <c r="B234" s="24"/>
      <c r="C234" s="24"/>
      <c r="D234" s="318">
        <v>20</v>
      </c>
      <c r="E234" s="320">
        <f t="shared" ref="E234:E244" si="1">$E$230/D234</f>
        <v>17.149999999999999</v>
      </c>
    </row>
    <row r="235" spans="1:5">
      <c r="A235" s="24"/>
      <c r="B235" s="24"/>
      <c r="C235" s="24"/>
      <c r="D235" s="318">
        <f t="shared" ref="D235:D244" si="2">D234*2</f>
        <v>40</v>
      </c>
      <c r="E235" s="320">
        <f t="shared" si="1"/>
        <v>8.5749999999999993</v>
      </c>
    </row>
    <row r="236" spans="1:5">
      <c r="A236" s="24"/>
      <c r="B236" s="24"/>
      <c r="C236" s="24"/>
      <c r="D236" s="318">
        <f t="shared" si="2"/>
        <v>80</v>
      </c>
      <c r="E236" s="320">
        <f t="shared" si="1"/>
        <v>4.2874999999999996</v>
      </c>
    </row>
    <row r="237" spans="1:5">
      <c r="A237" s="24"/>
      <c r="B237" s="24"/>
      <c r="C237" s="24"/>
      <c r="D237" s="318">
        <f t="shared" si="2"/>
        <v>160</v>
      </c>
      <c r="E237" s="320">
        <f t="shared" si="1"/>
        <v>2.1437499999999998</v>
      </c>
    </row>
    <row r="238" spans="1:5">
      <c r="A238" s="24"/>
      <c r="B238" s="24"/>
      <c r="C238" s="24"/>
      <c r="D238" s="318">
        <f t="shared" si="2"/>
        <v>320</v>
      </c>
      <c r="E238" s="320">
        <f t="shared" si="1"/>
        <v>1.0718749999999999</v>
      </c>
    </row>
    <row r="239" spans="1:5">
      <c r="A239" s="24"/>
      <c r="B239" s="24"/>
      <c r="C239" s="24"/>
      <c r="D239" s="318">
        <f t="shared" si="2"/>
        <v>640</v>
      </c>
      <c r="E239" s="320">
        <f t="shared" si="1"/>
        <v>0.53593749999999996</v>
      </c>
    </row>
    <row r="240" spans="1:5">
      <c r="A240" s="24"/>
      <c r="B240" s="24"/>
      <c r="C240" s="24"/>
      <c r="D240" s="318">
        <f t="shared" si="2"/>
        <v>1280</v>
      </c>
      <c r="E240" s="320">
        <f t="shared" si="1"/>
        <v>0.26796874999999998</v>
      </c>
    </row>
    <row r="241" spans="1:9">
      <c r="A241" s="24"/>
      <c r="B241" s="24"/>
      <c r="C241" s="24"/>
      <c r="D241" s="318">
        <f t="shared" si="2"/>
        <v>2560</v>
      </c>
      <c r="E241" s="320">
        <f t="shared" si="1"/>
        <v>0.13398437499999999</v>
      </c>
    </row>
    <row r="242" spans="1:9">
      <c r="A242" s="24"/>
      <c r="B242" s="24"/>
      <c r="C242" s="24"/>
      <c r="D242" s="318">
        <f t="shared" si="2"/>
        <v>5120</v>
      </c>
      <c r="E242" s="320">
        <f t="shared" si="1"/>
        <v>6.6992187499999994E-2</v>
      </c>
    </row>
    <row r="243" spans="1:9">
      <c r="A243" s="24"/>
      <c r="B243" s="24"/>
      <c r="C243" s="24"/>
      <c r="D243" s="318">
        <f t="shared" si="2"/>
        <v>10240</v>
      </c>
      <c r="E243" s="320">
        <f t="shared" si="1"/>
        <v>3.3496093749999997E-2</v>
      </c>
    </row>
    <row r="244" spans="1:9">
      <c r="A244" s="24"/>
      <c r="B244" s="24"/>
      <c r="C244" s="24"/>
      <c r="D244" s="318">
        <f t="shared" si="2"/>
        <v>20480</v>
      </c>
      <c r="E244" s="320">
        <f t="shared" si="1"/>
        <v>1.6748046874999999E-2</v>
      </c>
    </row>
    <row r="245" spans="1:9">
      <c r="A245" s="24"/>
      <c r="B245" s="24"/>
      <c r="C245" s="24"/>
    </row>
    <row r="246" spans="1:9">
      <c r="A246" s="24"/>
      <c r="B246" s="24"/>
      <c r="C246" s="24"/>
    </row>
    <row r="247" spans="1:9">
      <c r="A247" s="24"/>
      <c r="B247" s="24"/>
      <c r="C247" s="1" t="s">
        <v>990</v>
      </c>
      <c r="D247" s="1"/>
      <c r="E247" s="1"/>
      <c r="F247" s="1"/>
      <c r="G247" s="1"/>
      <c r="H247" s="1"/>
      <c r="I247" s="1"/>
    </row>
    <row r="248" spans="1:9">
      <c r="A248" s="24"/>
      <c r="B248" s="24"/>
      <c r="C248" s="1"/>
      <c r="D248" s="1"/>
      <c r="E248" s="1"/>
      <c r="F248" s="1"/>
      <c r="G248" s="1"/>
      <c r="H248" s="1"/>
      <c r="I248" s="1"/>
    </row>
    <row r="249" spans="1:9">
      <c r="A249" s="24"/>
      <c r="B249" s="330"/>
      <c r="C249" s="1"/>
      <c r="D249" s="1"/>
      <c r="E249" s="1"/>
      <c r="F249" s="1"/>
      <c r="G249" s="1"/>
      <c r="H249" s="1"/>
      <c r="I249" s="1"/>
    </row>
    <row r="250" spans="1:9">
      <c r="A250" s="24"/>
      <c r="B250" s="24"/>
      <c r="C250" s="165" t="s">
        <v>833</v>
      </c>
      <c r="D250" s="326">
        <v>20</v>
      </c>
      <c r="E250" s="1" t="s">
        <v>790</v>
      </c>
      <c r="F250" s="1"/>
      <c r="G250" s="1"/>
      <c r="H250" s="1"/>
      <c r="I250" s="1"/>
    </row>
    <row r="251" spans="1:9">
      <c r="A251" s="24"/>
      <c r="B251" s="24"/>
      <c r="C251" s="165" t="s">
        <v>991</v>
      </c>
      <c r="D251" s="326">
        <v>343</v>
      </c>
      <c r="E251" s="1" t="s">
        <v>824</v>
      </c>
      <c r="F251" s="1"/>
      <c r="G251" s="1"/>
      <c r="H251" s="1"/>
      <c r="I251" s="1"/>
    </row>
    <row r="252" spans="1:9">
      <c r="A252" s="24"/>
      <c r="B252" s="24"/>
      <c r="C252" s="165"/>
      <c r="D252" s="1"/>
      <c r="E252" s="1"/>
      <c r="F252" s="1"/>
      <c r="G252" s="1"/>
      <c r="H252" s="1"/>
      <c r="I252" s="1"/>
    </row>
    <row r="253" spans="1:9">
      <c r="A253" s="24"/>
      <c r="B253" s="24"/>
      <c r="C253" s="165" t="s">
        <v>789</v>
      </c>
      <c r="D253" s="364">
        <f>D251/D250</f>
        <v>17.149999999999999</v>
      </c>
      <c r="E253" s="1" t="s">
        <v>68</v>
      </c>
      <c r="F253" s="1"/>
      <c r="G253" s="1"/>
      <c r="H253" s="1"/>
      <c r="I253" s="1"/>
    </row>
    <row r="254" spans="1:9">
      <c r="A254" s="24"/>
      <c r="B254" s="24"/>
      <c r="C254" s="24"/>
    </row>
    <row r="255" spans="1:9">
      <c r="A255" s="24"/>
      <c r="B255" s="24"/>
      <c r="C255" s="24"/>
    </row>
    <row r="256" spans="1:9">
      <c r="A256" s="24"/>
      <c r="B256" s="24"/>
      <c r="C256" s="24"/>
    </row>
    <row r="257" spans="1:6">
      <c r="A257" s="24"/>
      <c r="B257" s="24"/>
      <c r="C257" s="24"/>
    </row>
    <row r="258" spans="1:6">
      <c r="A258" s="24"/>
      <c r="B258" s="24"/>
      <c r="C258" s="24"/>
    </row>
    <row r="259" spans="1:6">
      <c r="A259" s="24"/>
      <c r="B259" s="24"/>
      <c r="C259" s="24"/>
    </row>
    <row r="260" spans="1:6">
      <c r="A260" s="24"/>
      <c r="B260" s="24"/>
      <c r="C260" s="24"/>
    </row>
    <row r="261" spans="1:6">
      <c r="A261" s="24"/>
      <c r="B261" s="24"/>
      <c r="C261" s="24"/>
    </row>
    <row r="262" spans="1:6">
      <c r="A262" s="24"/>
      <c r="B262" s="24"/>
      <c r="C262" s="24"/>
    </row>
    <row r="263" spans="1:6">
      <c r="A263" s="24"/>
      <c r="B263" s="24"/>
      <c r="C263" s="1" t="s">
        <v>1432</v>
      </c>
      <c r="D263" s="1"/>
      <c r="E263" s="1"/>
      <c r="F263" s="1"/>
    </row>
    <row r="264" spans="1:6">
      <c r="A264" s="24"/>
      <c r="B264" s="24"/>
      <c r="C264" s="1" t="s">
        <v>1433</v>
      </c>
      <c r="D264" s="1"/>
      <c r="E264" s="1"/>
      <c r="F264" s="1"/>
    </row>
    <row r="265" spans="1:6">
      <c r="A265" s="24"/>
      <c r="B265" s="24"/>
      <c r="C265" s="1"/>
      <c r="D265" s="1"/>
      <c r="E265" s="1"/>
      <c r="F265" s="1"/>
    </row>
    <row r="266" spans="1:6">
      <c r="A266" s="24"/>
      <c r="B266" s="24"/>
      <c r="C266" s="218" t="s">
        <v>844</v>
      </c>
      <c r="D266" s="235">
        <v>343</v>
      </c>
      <c r="E266" s="32" t="s">
        <v>824</v>
      </c>
      <c r="F266" s="32"/>
    </row>
    <row r="267" spans="1:6">
      <c r="A267" s="24"/>
      <c r="B267" s="24"/>
      <c r="C267" s="287" t="s">
        <v>1434</v>
      </c>
      <c r="D267" s="235">
        <v>3.7</v>
      </c>
      <c r="E267" s="32" t="s">
        <v>1435</v>
      </c>
      <c r="F267" s="32"/>
    </row>
    <row r="268" spans="1:6">
      <c r="A268" s="24"/>
      <c r="B268" s="24"/>
      <c r="C268" s="32"/>
      <c r="D268" s="32"/>
      <c r="E268" s="32"/>
      <c r="F268" s="32"/>
    </row>
    <row r="269" spans="1:6">
      <c r="A269" s="24"/>
      <c r="B269" s="24"/>
      <c r="C269" s="32" t="s">
        <v>1436</v>
      </c>
      <c r="D269" s="32">
        <f>D267/2</f>
        <v>1.85</v>
      </c>
      <c r="E269" s="32" t="s">
        <v>1435</v>
      </c>
      <c r="F269" s="32"/>
    </row>
    <row r="270" spans="1:6">
      <c r="C270" s="32" t="s">
        <v>1437</v>
      </c>
      <c r="D270" s="32">
        <f>D266*D269</f>
        <v>634.55000000000007</v>
      </c>
      <c r="E270" s="32" t="s">
        <v>68</v>
      </c>
      <c r="F270" s="32"/>
    </row>
    <row r="271" spans="1:6">
      <c r="C271" s="32"/>
      <c r="D271" s="32"/>
      <c r="E271" s="32"/>
      <c r="F271" s="32"/>
    </row>
    <row r="272" spans="1:6">
      <c r="C272" s="216" t="str">
        <f>"Die reflektierende Wand ist " &amp; ROUND(D270,2) &amp; " m weit entfernt."</f>
        <v>Die reflektierende Wand ist 634,55 m weit entfernt.</v>
      </c>
      <c r="D272" s="32"/>
      <c r="E272" s="32"/>
      <c r="F272" s="32"/>
    </row>
    <row r="273" spans="3:6">
      <c r="C273" s="32"/>
      <c r="D273" s="32"/>
      <c r="E273" s="32"/>
      <c r="F273" s="32"/>
    </row>
    <row r="276" spans="3:6">
      <c r="C276" s="287" t="s">
        <v>1438</v>
      </c>
    </row>
    <row r="277" spans="3:6">
      <c r="C277" s="287" t="s">
        <v>1439</v>
      </c>
    </row>
    <row r="279" spans="3:6">
      <c r="C279" t="s">
        <v>1440</v>
      </c>
      <c r="D279" s="235">
        <v>440</v>
      </c>
      <c r="E279" t="s">
        <v>811</v>
      </c>
    </row>
    <row r="280" spans="3:6">
      <c r="C280" s="218" t="s">
        <v>844</v>
      </c>
      <c r="D280" s="235">
        <v>343</v>
      </c>
      <c r="E280" s="32" t="s">
        <v>824</v>
      </c>
    </row>
    <row r="282" spans="3:6">
      <c r="C282" t="s">
        <v>789</v>
      </c>
      <c r="D282">
        <f>D280/D279</f>
        <v>0.77954545454545454</v>
      </c>
      <c r="E282" t="s">
        <v>68</v>
      </c>
    </row>
    <row r="284" spans="3:6">
      <c r="C284" t="str">
        <f>"Die Wellenlänge ist " &amp; ROUND(D282,2) &amp; " Meter."</f>
        <v>Die Wellenlänge ist 0,78 Meter.</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72"/>
  <sheetViews>
    <sheetView workbookViewId="0">
      <selection activeCell="K22" sqref="K22"/>
    </sheetView>
  </sheetViews>
  <sheetFormatPr baseColWidth="10" defaultRowHeight="12.75"/>
  <cols>
    <col min="1" max="1" width="11.42578125" style="1628"/>
    <col min="2" max="2" width="47.140625" style="1628" customWidth="1"/>
    <col min="3" max="16384" width="11.42578125" style="1628"/>
  </cols>
  <sheetData>
    <row r="3" spans="2:6">
      <c r="B3" s="1628" t="s">
        <v>4656</v>
      </c>
    </row>
    <row r="4" spans="2:6">
      <c r="B4" s="1628" t="s">
        <v>4657</v>
      </c>
    </row>
    <row r="6" spans="2:6">
      <c r="B6" s="1628" t="s">
        <v>4658</v>
      </c>
    </row>
    <row r="7" spans="2:6">
      <c r="B7" s="1628" t="s">
        <v>4659</v>
      </c>
    </row>
    <row r="10" spans="2:6">
      <c r="B10" s="1633" t="s">
        <v>4660</v>
      </c>
    </row>
    <row r="12" spans="2:6">
      <c r="B12" s="1629" t="s">
        <v>4663</v>
      </c>
      <c r="C12" s="465">
        <v>300</v>
      </c>
      <c r="D12" s="1628" t="s">
        <v>212</v>
      </c>
    </row>
    <row r="13" spans="2:6">
      <c r="B13" s="1629" t="s">
        <v>4662</v>
      </c>
      <c r="C13" s="465">
        <v>70</v>
      </c>
      <c r="D13" s="1628" t="s">
        <v>1846</v>
      </c>
    </row>
    <row r="15" spans="2:6">
      <c r="B15" s="1628" t="s">
        <v>4668</v>
      </c>
      <c r="C15" s="1628">
        <f>RADIANS(C13/2)</f>
        <v>0.6108652381980153</v>
      </c>
      <c r="F15" s="1628" t="s">
        <v>4669</v>
      </c>
    </row>
    <row r="16" spans="2:6">
      <c r="B16" s="1628" t="s">
        <v>4667</v>
      </c>
      <c r="C16" s="1628">
        <f>TAN(C15)</f>
        <v>0.70020753820970971</v>
      </c>
      <c r="F16" s="1628" t="s">
        <v>4670</v>
      </c>
    </row>
    <row r="18" spans="2:16">
      <c r="B18" s="1628" t="s">
        <v>4665</v>
      </c>
      <c r="C18" s="1632">
        <f>C12*C16</f>
        <v>210.06226146291291</v>
      </c>
      <c r="D18" s="1628" t="s">
        <v>212</v>
      </c>
    </row>
    <row r="19" spans="2:16">
      <c r="B19" s="1628" t="s">
        <v>4664</v>
      </c>
      <c r="C19" s="1632">
        <f>C18*2</f>
        <v>420.12452292582583</v>
      </c>
      <c r="D19" s="1628" t="s">
        <v>212</v>
      </c>
    </row>
    <row r="20" spans="2:16">
      <c r="B20" s="1628" t="s">
        <v>4666</v>
      </c>
      <c r="C20" s="1632">
        <f>PI()*C18^2</f>
        <v>138626.40026654702</v>
      </c>
      <c r="D20" s="1628" t="s">
        <v>215</v>
      </c>
    </row>
    <row r="25" spans="2:16">
      <c r="B25" s="1633" t="s">
        <v>4661</v>
      </c>
    </row>
    <row r="27" spans="2:16">
      <c r="P27"/>
    </row>
    <row r="28" spans="2:16">
      <c r="B28" s="1629" t="s">
        <v>4671</v>
      </c>
      <c r="C28" s="465">
        <v>350</v>
      </c>
      <c r="D28" s="1628" t="s">
        <v>4672</v>
      </c>
    </row>
    <row r="29" spans="2:16">
      <c r="B29" s="1629" t="s">
        <v>4717</v>
      </c>
      <c r="C29" s="465">
        <v>2.4</v>
      </c>
      <c r="D29" s="1628" t="s">
        <v>68</v>
      </c>
    </row>
    <row r="30" spans="2:16">
      <c r="B30" s="1629" t="s">
        <v>4662</v>
      </c>
      <c r="C30" s="465">
        <v>35</v>
      </c>
      <c r="D30" s="1628" t="s">
        <v>1846</v>
      </c>
    </row>
    <row r="32" spans="2:16">
      <c r="B32" s="1628" t="s">
        <v>4668</v>
      </c>
      <c r="C32" s="1628">
        <f>RADIANS(C30/2)</f>
        <v>0.30543261909900765</v>
      </c>
    </row>
    <row r="33" spans="2:7">
      <c r="B33" s="1628" t="s">
        <v>4719</v>
      </c>
      <c r="C33" s="1628">
        <f>TAN(C32)</f>
        <v>0.31529878887898349</v>
      </c>
    </row>
    <row r="34" spans="2:7">
      <c r="C34" s="1640"/>
    </row>
    <row r="35" spans="2:7">
      <c r="B35" s="1628" t="s">
        <v>4679</v>
      </c>
      <c r="C35" s="1631">
        <f>C29*C33</f>
        <v>0.75671709330956038</v>
      </c>
      <c r="D35" s="1628" t="s">
        <v>80</v>
      </c>
    </row>
    <row r="36" spans="2:7">
      <c r="B36" s="1628" t="s">
        <v>4680</v>
      </c>
      <c r="C36" s="1631">
        <f>C35*2</f>
        <v>1.5134341866191208</v>
      </c>
      <c r="D36" s="1628" t="s">
        <v>80</v>
      </c>
    </row>
    <row r="37" spans="2:7">
      <c r="B37" s="1628" t="s">
        <v>4673</v>
      </c>
      <c r="C37" s="1631">
        <f>PI()*C35^2</f>
        <v>1.7989411707314718</v>
      </c>
      <c r="D37" s="1628" t="s">
        <v>80</v>
      </c>
    </row>
    <row r="38" spans="2:7">
      <c r="C38" s="1630"/>
    </row>
    <row r="39" spans="2:7">
      <c r="G39" s="1644" t="s">
        <v>4721</v>
      </c>
    </row>
    <row r="40" spans="2:7">
      <c r="B40" s="1628" t="s">
        <v>4675</v>
      </c>
      <c r="C40" s="1643">
        <f>C37/C29^2</f>
        <v>0.31231617547421386</v>
      </c>
      <c r="D40" s="1628" t="s">
        <v>4676</v>
      </c>
      <c r="E40" s="1642">
        <f>2*PI()*(1-COS(C32))</f>
        <v>0.29080497503020969</v>
      </c>
      <c r="F40" s="1628" t="s">
        <v>4676</v>
      </c>
      <c r="G40" s="1641" t="s">
        <v>4720</v>
      </c>
    </row>
    <row r="41" spans="2:7">
      <c r="B41" s="1628" t="s">
        <v>4674</v>
      </c>
      <c r="C41" s="1630">
        <f>C28/C40</f>
        <v>1120.6592148759757</v>
      </c>
      <c r="D41" s="1628" t="s">
        <v>4677</v>
      </c>
      <c r="E41" s="1630">
        <f>C28/E40</f>
        <v>1203.5557505975987</v>
      </c>
      <c r="F41" s="1628" t="s">
        <v>4677</v>
      </c>
    </row>
    <row r="42" spans="2:7">
      <c r="B42" s="1628" t="s">
        <v>4681</v>
      </c>
      <c r="C42" s="1630">
        <f>C41/C29^2</f>
        <v>194.55889147152357</v>
      </c>
      <c r="D42" s="1628" t="s">
        <v>4678</v>
      </c>
      <c r="E42" s="1630">
        <f>E41/C29^2</f>
        <v>208.95065114541646</v>
      </c>
      <c r="F42" s="1628" t="s">
        <v>4678</v>
      </c>
    </row>
    <row r="45" spans="2:7">
      <c r="B45" s="1628" t="s">
        <v>1670</v>
      </c>
    </row>
    <row r="47" spans="2:7">
      <c r="B47" s="1628" t="s">
        <v>4682</v>
      </c>
      <c r="C47" s="1628">
        <f>C40*C41</f>
        <v>350</v>
      </c>
      <c r="D47" s="1628" t="s">
        <v>4672</v>
      </c>
      <c r="E47" s="1628">
        <f>E40*E41</f>
        <v>350</v>
      </c>
      <c r="F47" s="1628" t="s">
        <v>4672</v>
      </c>
    </row>
    <row r="48" spans="2:7">
      <c r="B48" s="1628" t="s">
        <v>4683</v>
      </c>
      <c r="C48" s="1630">
        <f>C28/C37</f>
        <v>194.55889147152359</v>
      </c>
      <c r="D48" s="1628" t="s">
        <v>4678</v>
      </c>
    </row>
    <row r="49" spans="2:15">
      <c r="B49" s="1628" t="s">
        <v>4684</v>
      </c>
      <c r="C49" s="1630">
        <f>C37/C29^2</f>
        <v>0.31231617547421386</v>
      </c>
      <c r="D49" s="1628" t="s">
        <v>4676</v>
      </c>
    </row>
    <row r="50" spans="2:15">
      <c r="B50" s="1628" t="s">
        <v>4718</v>
      </c>
      <c r="E50" s="1630">
        <f>2*PI()*(1-COS(C32))</f>
        <v>0.29080497503020969</v>
      </c>
      <c r="F50" s="1628" t="s">
        <v>4676</v>
      </c>
      <c r="O50" s="1628" t="s">
        <v>4655</v>
      </c>
    </row>
    <row r="55" spans="2:15">
      <c r="B55" s="1633" t="s">
        <v>4716</v>
      </c>
    </row>
    <row r="56" spans="2:15">
      <c r="B56" s="1634" t="s">
        <v>4685</v>
      </c>
      <c r="C56" s="1635" t="s">
        <v>4686</v>
      </c>
    </row>
    <row r="57" spans="2:15">
      <c r="B57" s="1636" t="s">
        <v>4687</v>
      </c>
      <c r="C57" s="1637" t="s">
        <v>4688</v>
      </c>
    </row>
    <row r="58" spans="2:15">
      <c r="B58" s="1636" t="s">
        <v>4689</v>
      </c>
      <c r="C58" s="1637" t="s">
        <v>4690</v>
      </c>
    </row>
    <row r="59" spans="2:15">
      <c r="B59" s="1636" t="s">
        <v>4691</v>
      </c>
      <c r="C59" s="1637" t="s">
        <v>4692</v>
      </c>
    </row>
    <row r="60" spans="2:15">
      <c r="B60" s="1636" t="s">
        <v>4693</v>
      </c>
      <c r="C60" s="1637" t="s">
        <v>4694</v>
      </c>
    </row>
    <row r="61" spans="2:15">
      <c r="B61" s="1636" t="s">
        <v>4695</v>
      </c>
      <c r="C61" s="1637" t="s">
        <v>4696</v>
      </c>
    </row>
    <row r="62" spans="2:15">
      <c r="B62" s="1636" t="s">
        <v>4697</v>
      </c>
      <c r="C62" s="1637" t="s">
        <v>4698</v>
      </c>
    </row>
    <row r="63" spans="2:15">
      <c r="B63" s="1636" t="s">
        <v>4699</v>
      </c>
      <c r="C63" s="1637" t="s">
        <v>4700</v>
      </c>
    </row>
    <row r="64" spans="2:15">
      <c r="B64" s="1636" t="s">
        <v>4701</v>
      </c>
      <c r="C64" s="1637" t="s">
        <v>4702</v>
      </c>
    </row>
    <row r="65" spans="2:16">
      <c r="B65" s="1636" t="s">
        <v>4703</v>
      </c>
      <c r="C65" s="1637" t="s">
        <v>4704</v>
      </c>
    </row>
    <row r="66" spans="2:16">
      <c r="B66" s="1636" t="s">
        <v>4705</v>
      </c>
      <c r="C66" s="1637" t="s">
        <v>4706</v>
      </c>
      <c r="M66"/>
    </row>
    <row r="67" spans="2:16">
      <c r="B67" s="1636" t="s">
        <v>4707</v>
      </c>
      <c r="C67" s="1637" t="s">
        <v>4708</v>
      </c>
      <c r="P67" s="1628" t="s">
        <v>4715</v>
      </c>
    </row>
    <row r="68" spans="2:16">
      <c r="B68" s="1636" t="s">
        <v>4709</v>
      </c>
      <c r="C68" s="1637" t="s">
        <v>4710</v>
      </c>
    </row>
    <row r="69" spans="2:16">
      <c r="B69" s="1636" t="s">
        <v>4711</v>
      </c>
      <c r="C69" s="1637" t="s">
        <v>4712</v>
      </c>
    </row>
    <row r="70" spans="2:16">
      <c r="B70" s="1636" t="s">
        <v>4713</v>
      </c>
      <c r="C70" s="1637" t="s">
        <v>4714</v>
      </c>
    </row>
    <row r="71" spans="2:16">
      <c r="B71" s="1636"/>
      <c r="C71" s="1637"/>
    </row>
    <row r="72" spans="2:16">
      <c r="B72" s="1638" t="s">
        <v>4640</v>
      </c>
      <c r="C72" s="1639"/>
    </row>
  </sheetData>
  <pageMargins left="0.7" right="0.7" top="0.78740157499999996" bottom="0.78740157499999996"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dimension ref="B3:H128"/>
  <sheetViews>
    <sheetView workbookViewId="0"/>
  </sheetViews>
  <sheetFormatPr baseColWidth="10" defaultColWidth="11.42578125" defaultRowHeight="12.75"/>
  <cols>
    <col min="1" max="3" width="11.42578125" style="1"/>
    <col min="4" max="4" width="9.85546875" style="1" customWidth="1"/>
    <col min="5" max="5" width="19.7109375" style="1" customWidth="1"/>
    <col min="6" max="7" width="11.42578125" style="1"/>
    <col min="8" max="8" width="32.5703125" style="1" customWidth="1"/>
    <col min="9" max="16384" width="11.42578125" style="1"/>
  </cols>
  <sheetData>
    <row r="3" spans="2:3">
      <c r="B3" s="165" t="s">
        <v>4502</v>
      </c>
      <c r="C3" s="1" t="s">
        <v>1</v>
      </c>
    </row>
    <row r="4" spans="2:3">
      <c r="C4" s="1" t="s">
        <v>2</v>
      </c>
    </row>
    <row r="5" spans="2:3">
      <c r="C5" s="1" t="s">
        <v>3</v>
      </c>
    </row>
    <row r="7" spans="2:3">
      <c r="C7" s="2" t="s">
        <v>4</v>
      </c>
    </row>
    <row r="9" spans="2:3">
      <c r="C9" s="1" t="s">
        <v>5</v>
      </c>
    </row>
    <row r="10" spans="2:3">
      <c r="C10" s="1" t="s">
        <v>6</v>
      </c>
    </row>
    <row r="12" spans="2:3">
      <c r="C12" s="1" t="s">
        <v>7</v>
      </c>
    </row>
    <row r="13" spans="2:3">
      <c r="C13" s="1" t="s">
        <v>8</v>
      </c>
    </row>
    <row r="15" spans="2:3">
      <c r="C15" s="1" t="s">
        <v>9</v>
      </c>
    </row>
    <row r="17" spans="3:3">
      <c r="C17" s="1" t="s">
        <v>10</v>
      </c>
    </row>
    <row r="18" spans="3:3">
      <c r="C18" s="1" t="s">
        <v>11</v>
      </c>
    </row>
    <row r="19" spans="3:3">
      <c r="C19" s="1" t="s">
        <v>12</v>
      </c>
    </row>
    <row r="20" spans="3:3">
      <c r="C20" s="1" t="s">
        <v>13</v>
      </c>
    </row>
    <row r="22" spans="3:3">
      <c r="C22" s="2" t="s">
        <v>14</v>
      </c>
    </row>
    <row r="24" spans="3:3">
      <c r="C24" s="1" t="s">
        <v>15</v>
      </c>
    </row>
    <row r="25" spans="3:3">
      <c r="C25" s="1" t="s">
        <v>16</v>
      </c>
    </row>
    <row r="26" spans="3:3">
      <c r="C26" s="1" t="s">
        <v>17</v>
      </c>
    </row>
    <row r="27" spans="3:3">
      <c r="C27" s="1" t="s">
        <v>18</v>
      </c>
    </row>
    <row r="28" spans="3:3">
      <c r="C28" s="1" t="s">
        <v>19</v>
      </c>
    </row>
    <row r="29" spans="3:3">
      <c r="C29" s="1" t="s">
        <v>20</v>
      </c>
    </row>
    <row r="31" spans="3:3">
      <c r="C31" s="2" t="s">
        <v>21</v>
      </c>
    </row>
    <row r="33" spans="3:3">
      <c r="C33" s="1" t="s">
        <v>22</v>
      </c>
    </row>
    <row r="34" spans="3:3">
      <c r="C34" s="1" t="s">
        <v>23</v>
      </c>
    </row>
    <row r="35" spans="3:3">
      <c r="C35" s="1" t="s">
        <v>24</v>
      </c>
    </row>
    <row r="36" spans="3:3">
      <c r="C36" s="1" t="s">
        <v>25</v>
      </c>
    </row>
    <row r="37" spans="3:3">
      <c r="C37" s="1" t="s">
        <v>26</v>
      </c>
    </row>
    <row r="39" spans="3:3">
      <c r="C39" s="1" t="s">
        <v>27</v>
      </c>
    </row>
    <row r="40" spans="3:3">
      <c r="C40" s="1" t="s">
        <v>28</v>
      </c>
    </row>
    <row r="42" spans="3:3">
      <c r="C42" s="2" t="s">
        <v>29</v>
      </c>
    </row>
    <row r="44" spans="3:3">
      <c r="C44" s="3" t="s">
        <v>30</v>
      </c>
    </row>
    <row r="45" spans="3:3">
      <c r="C45" s="1" t="s">
        <v>31</v>
      </c>
    </row>
    <row r="46" spans="3:3">
      <c r="C46" s="3" t="s">
        <v>32</v>
      </c>
    </row>
    <row r="47" spans="3:3">
      <c r="C47" s="1" t="s">
        <v>33</v>
      </c>
    </row>
    <row r="48" spans="3:3">
      <c r="C48" s="1" t="s">
        <v>34</v>
      </c>
    </row>
    <row r="49" spans="3:3">
      <c r="C49" s="1" t="s">
        <v>35</v>
      </c>
    </row>
    <row r="50" spans="3:3">
      <c r="C50" s="1" t="s">
        <v>36</v>
      </c>
    </row>
    <row r="51" spans="3:3">
      <c r="C51" s="1" t="s">
        <v>37</v>
      </c>
    </row>
    <row r="52" spans="3:3">
      <c r="C52" s="1" t="s">
        <v>38</v>
      </c>
    </row>
    <row r="53" spans="3:3">
      <c r="C53" s="3" t="s">
        <v>39</v>
      </c>
    </row>
    <row r="55" spans="3:3">
      <c r="C55" s="2" t="s">
        <v>40</v>
      </c>
    </row>
    <row r="57" spans="3:3">
      <c r="C57" s="1" t="s">
        <v>41</v>
      </c>
    </row>
    <row r="58" spans="3:3">
      <c r="C58" s="3" t="s">
        <v>42</v>
      </c>
    </row>
    <row r="59" spans="3:3">
      <c r="C59" s="1" t="s">
        <v>43</v>
      </c>
    </row>
    <row r="60" spans="3:3">
      <c r="C60" s="1" t="s">
        <v>44</v>
      </c>
    </row>
    <row r="62" spans="3:3">
      <c r="C62" s="1" t="s">
        <v>45</v>
      </c>
    </row>
    <row r="63" spans="3:3">
      <c r="C63" s="1" t="s">
        <v>46</v>
      </c>
    </row>
    <row r="64" spans="3:3">
      <c r="C64" s="1" t="s">
        <v>47</v>
      </c>
    </row>
    <row r="68" spans="2:8">
      <c r="B68" s="1" t="s">
        <v>48</v>
      </c>
      <c r="C68" s="4"/>
      <c r="D68" s="5"/>
      <c r="E68" s="5"/>
      <c r="F68" s="5"/>
      <c r="G68" s="5"/>
      <c r="H68" s="6"/>
    </row>
    <row r="69" spans="2:8">
      <c r="C69" s="7" t="s">
        <v>49</v>
      </c>
      <c r="D69" s="8"/>
      <c r="E69" s="8"/>
      <c r="F69" s="8"/>
      <c r="G69" s="8"/>
      <c r="H69" s="9"/>
    </row>
    <row r="70" spans="2:8">
      <c r="C70" s="10"/>
      <c r="D70" s="11"/>
      <c r="E70" s="11"/>
      <c r="F70" s="11"/>
      <c r="G70" s="11"/>
      <c r="H70" s="12"/>
    </row>
    <row r="72" spans="2:8">
      <c r="C72" s="13" t="s">
        <v>50</v>
      </c>
      <c r="D72" s="14"/>
      <c r="E72" s="14"/>
      <c r="F72" s="14"/>
      <c r="G72" s="14"/>
      <c r="H72" s="15"/>
    </row>
    <row r="73" spans="2:8">
      <c r="C73" s="8"/>
      <c r="D73" s="8"/>
      <c r="E73" s="8"/>
      <c r="F73" s="8"/>
      <c r="G73" s="8"/>
      <c r="H73" s="8"/>
    </row>
    <row r="74" spans="2:8">
      <c r="E74" s="16" t="s">
        <v>51</v>
      </c>
      <c r="F74" s="16" t="s">
        <v>52</v>
      </c>
      <c r="G74" s="16" t="s">
        <v>53</v>
      </c>
    </row>
    <row r="75" spans="2:8">
      <c r="C75" s="4" t="s">
        <v>54</v>
      </c>
      <c r="D75" s="5"/>
      <c r="E75" s="17"/>
      <c r="F75" s="18"/>
      <c r="G75" s="17"/>
      <c r="H75" s="6"/>
    </row>
    <row r="76" spans="2:8">
      <c r="C76" s="7"/>
      <c r="D76" s="8"/>
      <c r="E76" s="19" t="s">
        <v>55</v>
      </c>
      <c r="F76" s="20" t="s">
        <v>56</v>
      </c>
      <c r="G76" s="19" t="s">
        <v>57</v>
      </c>
      <c r="H76" s="9" t="s">
        <v>58</v>
      </c>
    </row>
    <row r="77" spans="2:8">
      <c r="C77" s="7"/>
      <c r="D77" s="8"/>
      <c r="E77" s="19"/>
      <c r="F77" s="20" t="s">
        <v>59</v>
      </c>
      <c r="G77" s="19"/>
      <c r="H77" s="9"/>
    </row>
    <row r="78" spans="2:8">
      <c r="C78" s="7"/>
      <c r="D78" s="8"/>
      <c r="E78" s="19"/>
      <c r="F78" s="21"/>
      <c r="G78" s="19"/>
      <c r="H78" s="9"/>
    </row>
    <row r="79" spans="2:8">
      <c r="C79" s="7"/>
      <c r="D79" s="8"/>
      <c r="E79" s="19"/>
      <c r="F79" s="21"/>
      <c r="G79" s="19"/>
      <c r="H79" s="9"/>
    </row>
    <row r="80" spans="2:8">
      <c r="C80" s="10"/>
      <c r="D80" s="11"/>
      <c r="E80" s="22"/>
      <c r="F80" s="23"/>
      <c r="G80" s="22"/>
      <c r="H80" s="12"/>
    </row>
    <row r="81" spans="3:8">
      <c r="E81" s="24"/>
      <c r="F81" s="24"/>
      <c r="G81" s="24"/>
    </row>
    <row r="82" spans="3:8">
      <c r="C82" s="4" t="s">
        <v>60</v>
      </c>
      <c r="D82" s="5"/>
      <c r="E82" s="17"/>
      <c r="F82" s="17"/>
      <c r="G82" s="17"/>
      <c r="H82" s="6"/>
    </row>
    <row r="83" spans="3:8">
      <c r="C83" s="7" t="s">
        <v>61</v>
      </c>
      <c r="D83" s="8"/>
      <c r="E83" s="19"/>
      <c r="F83" s="25" t="s">
        <v>62</v>
      </c>
      <c r="G83" s="19"/>
      <c r="H83" s="9"/>
    </row>
    <row r="84" spans="3:8">
      <c r="C84" s="7"/>
      <c r="D84" s="8"/>
      <c r="E84" s="19" t="s">
        <v>55</v>
      </c>
      <c r="F84" s="26" t="s">
        <v>63</v>
      </c>
      <c r="G84" s="19" t="s">
        <v>57</v>
      </c>
      <c r="H84" s="9" t="s">
        <v>58</v>
      </c>
    </row>
    <row r="85" spans="3:8">
      <c r="C85" s="10"/>
      <c r="D85" s="11"/>
      <c r="E85" s="22"/>
      <c r="F85" s="22"/>
      <c r="G85" s="22"/>
      <c r="H85" s="12"/>
    </row>
    <row r="86" spans="3:8">
      <c r="E86" s="24"/>
      <c r="F86" s="24"/>
      <c r="G86" s="24"/>
    </row>
    <row r="87" spans="3:8">
      <c r="C87" s="4" t="s">
        <v>64</v>
      </c>
      <c r="D87" s="5"/>
      <c r="E87" s="17"/>
      <c r="F87" s="17"/>
      <c r="G87" s="17"/>
      <c r="H87" s="6"/>
    </row>
    <row r="88" spans="3:8">
      <c r="C88" s="7"/>
      <c r="D88" s="8"/>
      <c r="E88" s="19"/>
      <c r="F88" s="25" t="s">
        <v>62</v>
      </c>
      <c r="G88" s="19"/>
      <c r="H88" s="9"/>
    </row>
    <row r="89" spans="3:8">
      <c r="C89" s="7"/>
      <c r="D89" s="8"/>
      <c r="E89" s="19" t="s">
        <v>55</v>
      </c>
      <c r="F89" s="26" t="s">
        <v>63</v>
      </c>
      <c r="G89" s="19" t="s">
        <v>57</v>
      </c>
      <c r="H89" s="9" t="s">
        <v>58</v>
      </c>
    </row>
    <row r="90" spans="3:8">
      <c r="C90" s="7"/>
      <c r="D90" s="8"/>
      <c r="E90" s="19"/>
      <c r="F90" s="19"/>
      <c r="G90" s="19"/>
      <c r="H90" s="9"/>
    </row>
    <row r="91" spans="3:8">
      <c r="C91" s="10"/>
      <c r="D91" s="11"/>
      <c r="E91" s="22"/>
      <c r="F91" s="22"/>
      <c r="G91" s="22"/>
      <c r="H91" s="12"/>
    </row>
    <row r="93" spans="3:8">
      <c r="C93" s="13" t="s">
        <v>65</v>
      </c>
      <c r="D93" s="14"/>
      <c r="E93" s="14"/>
      <c r="F93" s="14"/>
      <c r="G93" s="14"/>
      <c r="H93" s="15"/>
    </row>
    <row r="97" spans="2:8">
      <c r="C97" s="1" t="s">
        <v>66</v>
      </c>
    </row>
    <row r="98" spans="2:8">
      <c r="B98" s="24"/>
      <c r="C98" s="24"/>
      <c r="E98" s="24"/>
      <c r="F98" s="24"/>
      <c r="G98" s="24"/>
    </row>
    <row r="99" spans="2:8">
      <c r="B99" s="24"/>
      <c r="C99" s="24" t="s">
        <v>1</v>
      </c>
      <c r="D99" s="24"/>
      <c r="E99" s="24"/>
      <c r="F99" s="24"/>
      <c r="G99" s="24"/>
    </row>
    <row r="100" spans="2:8">
      <c r="B100" s="24"/>
      <c r="C100" s="24" t="s">
        <v>2</v>
      </c>
      <c r="D100" s="24"/>
      <c r="E100" s="24"/>
      <c r="F100" s="24"/>
      <c r="G100" s="24"/>
    </row>
    <row r="101" spans="2:8">
      <c r="B101" s="24"/>
      <c r="C101" s="24" t="s">
        <v>3</v>
      </c>
      <c r="D101" s="24"/>
      <c r="E101" s="24"/>
      <c r="F101" s="24"/>
      <c r="G101" s="24"/>
    </row>
    <row r="102" spans="2:8">
      <c r="B102" s="24"/>
      <c r="C102" s="24"/>
      <c r="D102" s="24"/>
      <c r="E102" s="24"/>
      <c r="F102" s="24"/>
      <c r="G102" s="24"/>
    </row>
    <row r="103" spans="2:8">
      <c r="B103" s="24"/>
      <c r="C103" s="27" t="s">
        <v>51</v>
      </c>
      <c r="D103" s="28" t="s">
        <v>52</v>
      </c>
      <c r="E103" s="28" t="s">
        <v>53</v>
      </c>
      <c r="F103" s="24"/>
      <c r="G103" s="24"/>
    </row>
    <row r="104" spans="2:8">
      <c r="B104" s="24"/>
      <c r="C104" s="27"/>
      <c r="D104" s="28"/>
      <c r="E104" s="28"/>
      <c r="F104" s="24"/>
      <c r="G104" s="24"/>
    </row>
    <row r="105" spans="2:8">
      <c r="B105" s="24"/>
      <c r="C105" s="29" t="s">
        <v>67</v>
      </c>
      <c r="D105" s="30">
        <v>5</v>
      </c>
      <c r="E105" s="31" t="s">
        <v>68</v>
      </c>
      <c r="F105" s="32" t="s">
        <v>69</v>
      </c>
      <c r="G105" s="32"/>
      <c r="H105" s="32"/>
    </row>
    <row r="106" spans="2:8">
      <c r="B106" s="24"/>
      <c r="C106" s="29" t="s">
        <v>70</v>
      </c>
      <c r="D106" s="30">
        <v>7.8</v>
      </c>
      <c r="E106" s="31" t="s">
        <v>68</v>
      </c>
      <c r="F106" s="32"/>
      <c r="G106" s="32"/>
      <c r="H106" s="32"/>
    </row>
    <row r="107" spans="2:8">
      <c r="B107" s="24"/>
      <c r="C107" s="29" t="s">
        <v>71</v>
      </c>
      <c r="D107" s="30">
        <v>3</v>
      </c>
      <c r="E107" s="31" t="s">
        <v>68</v>
      </c>
      <c r="F107" s="32"/>
      <c r="G107" s="32"/>
      <c r="H107" s="32"/>
    </row>
    <row r="108" spans="2:8">
      <c r="B108" s="24"/>
      <c r="C108" s="29" t="s">
        <v>72</v>
      </c>
      <c r="D108" s="33">
        <v>1920</v>
      </c>
      <c r="E108" s="31"/>
      <c r="F108" s="32"/>
      <c r="G108" s="32"/>
      <c r="H108" s="32"/>
    </row>
    <row r="109" spans="2:8">
      <c r="B109" s="24"/>
      <c r="C109" s="29" t="s">
        <v>73</v>
      </c>
      <c r="D109" s="33">
        <v>1080</v>
      </c>
      <c r="E109" s="31"/>
      <c r="F109" s="32"/>
      <c r="G109" s="32"/>
      <c r="H109" s="32"/>
    </row>
    <row r="110" spans="2:8">
      <c r="B110" s="24"/>
      <c r="C110" s="29" t="s">
        <v>74</v>
      </c>
      <c r="D110" s="34">
        <v>1</v>
      </c>
      <c r="E110" s="31"/>
      <c r="F110" s="32"/>
      <c r="G110" s="32"/>
      <c r="H110" s="32"/>
    </row>
    <row r="111" spans="2:8">
      <c r="B111" s="24"/>
      <c r="C111" s="29"/>
      <c r="D111" s="35"/>
      <c r="E111" s="31"/>
      <c r="F111" s="32"/>
      <c r="G111" s="32"/>
      <c r="H111" s="32"/>
    </row>
    <row r="112" spans="2:8">
      <c r="B112" s="24"/>
      <c r="C112" s="29" t="s">
        <v>75</v>
      </c>
      <c r="D112" s="36">
        <f>D108/D109</f>
        <v>1.7777777777777777</v>
      </c>
      <c r="E112" s="32"/>
      <c r="F112" s="32" t="s">
        <v>76</v>
      </c>
      <c r="G112" s="32"/>
      <c r="H112" s="32"/>
    </row>
    <row r="113" spans="2:8">
      <c r="B113" s="24"/>
      <c r="C113" s="37"/>
      <c r="D113" s="38"/>
      <c r="E113" s="32"/>
      <c r="F113" s="32"/>
      <c r="G113" s="32"/>
      <c r="H113" s="32"/>
    </row>
    <row r="114" spans="2:8">
      <c r="B114" s="24"/>
      <c r="C114" s="29" t="s">
        <v>77</v>
      </c>
      <c r="D114" s="39">
        <f>D107/D112</f>
        <v>1.6875</v>
      </c>
      <c r="E114" s="31" t="s">
        <v>68</v>
      </c>
      <c r="F114" s="32" t="s">
        <v>78</v>
      </c>
      <c r="G114" s="32"/>
      <c r="H114" s="32"/>
    </row>
    <row r="115" spans="2:8">
      <c r="B115" s="24"/>
      <c r="C115" s="37" t="s">
        <v>79</v>
      </c>
      <c r="D115" s="40">
        <f>D107*D114</f>
        <v>5.0625</v>
      </c>
      <c r="E115" s="32" t="s">
        <v>80</v>
      </c>
      <c r="F115" s="32" t="s">
        <v>81</v>
      </c>
      <c r="G115" s="32"/>
      <c r="H115" s="32"/>
    </row>
    <row r="116" spans="2:8">
      <c r="B116" s="24"/>
      <c r="C116" s="37"/>
      <c r="D116" s="38"/>
      <c r="E116" s="32"/>
      <c r="F116" s="32"/>
      <c r="G116" s="32"/>
      <c r="H116" s="32"/>
    </row>
    <row r="117" spans="2:8">
      <c r="B117" s="24"/>
      <c r="C117" s="29" t="s">
        <v>82</v>
      </c>
      <c r="D117" s="40">
        <f>D106/D105</f>
        <v>1.56</v>
      </c>
      <c r="E117" s="32"/>
      <c r="F117" s="32" t="s">
        <v>83</v>
      </c>
      <c r="G117" s="32"/>
      <c r="H117" s="32"/>
    </row>
    <row r="118" spans="2:8">
      <c r="B118" s="24"/>
      <c r="C118" s="29" t="s">
        <v>84</v>
      </c>
      <c r="D118" s="41">
        <f>D107*D117</f>
        <v>4.68</v>
      </c>
      <c r="E118" s="31" t="s">
        <v>68</v>
      </c>
      <c r="F118" s="32" t="s">
        <v>85</v>
      </c>
      <c r="G118" s="32"/>
      <c r="H118" s="32"/>
    </row>
    <row r="119" spans="2:8">
      <c r="B119" s="24"/>
      <c r="C119" s="29" t="s">
        <v>86</v>
      </c>
      <c r="D119" s="41">
        <f>D114*D117</f>
        <v>2.6325000000000003</v>
      </c>
      <c r="E119" s="31" t="s">
        <v>68</v>
      </c>
      <c r="F119" s="32" t="s">
        <v>87</v>
      </c>
      <c r="G119" s="32"/>
      <c r="H119" s="32"/>
    </row>
    <row r="120" spans="2:8">
      <c r="B120" s="24"/>
      <c r="C120" s="37" t="s">
        <v>88</v>
      </c>
      <c r="D120" s="40">
        <f>D118*D119</f>
        <v>12.3201</v>
      </c>
      <c r="E120" s="32" t="s">
        <v>80</v>
      </c>
      <c r="F120" s="32" t="s">
        <v>89</v>
      </c>
      <c r="G120" s="32"/>
      <c r="H120" s="32"/>
    </row>
    <row r="121" spans="2:8">
      <c r="B121" s="24"/>
      <c r="C121" s="37"/>
      <c r="D121" s="38"/>
      <c r="E121" s="32"/>
      <c r="F121" s="32"/>
      <c r="G121" s="32"/>
      <c r="H121" s="32"/>
    </row>
    <row r="122" spans="2:8">
      <c r="B122" s="24"/>
      <c r="C122" s="29" t="s">
        <v>90</v>
      </c>
      <c r="D122" s="40">
        <f>D117^2</f>
        <v>2.4336000000000002</v>
      </c>
      <c r="E122" s="32"/>
      <c r="F122" s="32" t="s">
        <v>91</v>
      </c>
      <c r="G122" s="32"/>
      <c r="H122" s="32"/>
    </row>
    <row r="123" spans="2:8">
      <c r="B123" s="24"/>
      <c r="C123" s="29" t="s">
        <v>92</v>
      </c>
      <c r="D123" s="40">
        <f>1/D122</f>
        <v>0.41091387245233396</v>
      </c>
      <c r="E123" s="42" t="s">
        <v>93</v>
      </c>
      <c r="F123" s="43">
        <f>D123</f>
        <v>0.41091387245233396</v>
      </c>
      <c r="G123" s="32"/>
      <c r="H123" s="32"/>
    </row>
    <row r="124" spans="2:8">
      <c r="B124" s="24"/>
      <c r="C124" s="37"/>
      <c r="D124" s="38"/>
      <c r="E124" s="32"/>
      <c r="F124" s="32"/>
      <c r="G124" s="32"/>
      <c r="H124" s="32"/>
    </row>
    <row r="125" spans="2:8">
      <c r="B125" s="24"/>
      <c r="C125" s="29" t="s">
        <v>94</v>
      </c>
      <c r="D125" s="44">
        <f>D110*D123</f>
        <v>0.41091387245233396</v>
      </c>
      <c r="E125" s="32"/>
      <c r="F125" s="32" t="s">
        <v>95</v>
      </c>
      <c r="G125" s="32"/>
      <c r="H125" s="32"/>
    </row>
    <row r="126" spans="2:8">
      <c r="B126" s="24"/>
      <c r="C126" s="24"/>
      <c r="E126" s="24"/>
      <c r="F126" s="24"/>
      <c r="G126" s="24"/>
    </row>
    <row r="127" spans="2:8">
      <c r="C127" s="1" t="s">
        <v>96</v>
      </c>
      <c r="D127" s="1" t="str">
        <f>"Das Bild hat eine Breite von " &amp; ROUND(D118,2) &amp; " m, eine Höhe von " &amp; ROUND(D119,2) &amp; " m und eine Fläche von " &amp; ROUND(D120,2) &amp; " m²."</f>
        <v>Das Bild hat eine Breite von 4,68 m, eine Höhe von 2,63 m und eine Fläche von 12,32 m².</v>
      </c>
    </row>
    <row r="128" spans="2:8">
      <c r="D128" s="1" t="str">
        <f>"Das Bild hat eine Helligkeit von " &amp; ROUND(100*D125,2) &amp; " Prozent."</f>
        <v>Das Bild hat eine Helligkeit von 41,09 Prozent.</v>
      </c>
    </row>
  </sheetData>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W345"/>
  <sheetViews>
    <sheetView workbookViewId="0">
      <selection activeCell="P289" sqref="P289"/>
    </sheetView>
  </sheetViews>
  <sheetFormatPr baseColWidth="10" defaultColWidth="11.42578125" defaultRowHeight="12.75"/>
  <cols>
    <col min="1" max="1" width="11.42578125" style="315"/>
    <col min="2" max="2" width="42" style="315" customWidth="1"/>
    <col min="3" max="11" width="11.42578125" style="315"/>
    <col min="12" max="23" width="11.42578125" style="27"/>
    <col min="24" max="16384" width="11.42578125" style="315"/>
  </cols>
  <sheetData>
    <row r="1" spans="1:23">
      <c r="A1" s="31"/>
      <c r="F1" s="3"/>
      <c r="G1" s="3"/>
      <c r="H1" s="3"/>
      <c r="I1" s="3"/>
      <c r="J1" s="27"/>
      <c r="K1" s="27"/>
      <c r="V1" s="315"/>
      <c r="W1" s="315"/>
    </row>
    <row r="2" spans="1:23" ht="18">
      <c r="A2" s="3"/>
      <c r="B2" s="358" t="s">
        <v>897</v>
      </c>
      <c r="F2" s="3"/>
      <c r="G2" s="3"/>
      <c r="H2" s="3"/>
      <c r="I2" s="3"/>
      <c r="J2" s="27"/>
      <c r="K2" s="27"/>
      <c r="M2" s="362"/>
      <c r="V2" s="315"/>
      <c r="W2" s="315"/>
    </row>
    <row r="3" spans="1:23">
      <c r="A3" s="3"/>
      <c r="F3" s="3"/>
      <c r="G3" s="3"/>
      <c r="H3" s="3"/>
      <c r="I3" s="3"/>
      <c r="J3" s="27"/>
      <c r="K3" s="27"/>
      <c r="V3" s="315"/>
      <c r="W3" s="315"/>
    </row>
    <row r="4" spans="1:23">
      <c r="A4" s="3"/>
      <c r="F4" s="3"/>
      <c r="G4" s="3"/>
      <c r="H4" s="3"/>
      <c r="I4" s="3"/>
      <c r="J4" s="27"/>
      <c r="K4" s="27"/>
      <c r="V4" s="315"/>
      <c r="W4" s="315"/>
    </row>
    <row r="5" spans="1:23" ht="15.75">
      <c r="A5" s="3"/>
      <c r="B5" s="359" t="s">
        <v>896</v>
      </c>
      <c r="F5" s="3"/>
      <c r="G5" s="3"/>
      <c r="H5" s="3"/>
      <c r="I5" s="3"/>
      <c r="J5" s="27"/>
      <c r="K5" s="27"/>
      <c r="V5" s="315"/>
      <c r="W5" s="315"/>
    </row>
    <row r="6" spans="1:23">
      <c r="A6" s="3"/>
      <c r="F6" s="3"/>
      <c r="G6" s="3"/>
      <c r="H6" s="3"/>
      <c r="I6" s="3"/>
      <c r="J6" s="27"/>
      <c r="K6" s="27"/>
      <c r="V6" s="315"/>
      <c r="W6" s="315"/>
    </row>
    <row r="7" spans="1:23">
      <c r="A7" s="3"/>
      <c r="F7" s="3"/>
      <c r="G7" s="3"/>
      <c r="H7" s="3"/>
      <c r="I7" s="3"/>
      <c r="J7" s="27"/>
      <c r="K7" s="27"/>
      <c r="V7" s="315"/>
      <c r="W7" s="315"/>
    </row>
    <row r="8" spans="1:23">
      <c r="A8" s="3"/>
      <c r="B8" s="360" t="s">
        <v>884</v>
      </c>
      <c r="F8" s="3"/>
      <c r="G8" s="3"/>
      <c r="H8" s="3"/>
      <c r="I8" s="3"/>
      <c r="J8" s="27"/>
      <c r="K8" s="27"/>
      <c r="V8" s="315"/>
      <c r="W8" s="315"/>
    </row>
    <row r="9" spans="1:23">
      <c r="A9" s="3"/>
      <c r="F9" s="3"/>
      <c r="G9" s="3"/>
      <c r="H9" s="3"/>
      <c r="I9" s="3"/>
      <c r="J9" s="27"/>
      <c r="K9" s="27"/>
      <c r="V9" s="315"/>
      <c r="W9" s="315"/>
    </row>
    <row r="10" spans="1:23">
      <c r="A10" s="3"/>
      <c r="B10" s="315" t="s">
        <v>885</v>
      </c>
      <c r="D10" s="361">
        <v>175</v>
      </c>
      <c r="F10" s="3"/>
      <c r="G10" s="3"/>
      <c r="H10" s="3"/>
      <c r="I10" s="3"/>
      <c r="J10" s="27"/>
      <c r="K10" s="27"/>
      <c r="V10" s="315"/>
      <c r="W10" s="315"/>
    </row>
    <row r="11" spans="1:23">
      <c r="A11" s="3"/>
      <c r="B11" s="315" t="s">
        <v>886</v>
      </c>
      <c r="D11" s="361">
        <v>235</v>
      </c>
      <c r="F11" s="3"/>
      <c r="G11" s="3"/>
      <c r="H11" s="3"/>
      <c r="I11" s="3"/>
      <c r="J11" s="27"/>
      <c r="K11" s="27"/>
      <c r="V11" s="315"/>
      <c r="W11" s="315"/>
    </row>
    <row r="12" spans="1:23">
      <c r="A12" s="3"/>
      <c r="B12" s="315" t="s">
        <v>887</v>
      </c>
      <c r="D12" s="361">
        <v>45</v>
      </c>
      <c r="F12" s="3"/>
      <c r="G12" s="3"/>
      <c r="H12" s="3"/>
      <c r="I12" s="3"/>
      <c r="J12" s="27"/>
      <c r="K12" s="27"/>
      <c r="V12" s="315"/>
      <c r="W12" s="315"/>
    </row>
    <row r="13" spans="1:23">
      <c r="A13" s="3"/>
      <c r="F13" s="3"/>
      <c r="G13" s="3"/>
      <c r="H13" s="3"/>
      <c r="I13" s="3"/>
      <c r="J13" s="27"/>
      <c r="K13" s="27"/>
      <c r="V13" s="315"/>
      <c r="W13" s="315"/>
    </row>
    <row r="14" spans="1:23">
      <c r="A14" s="3"/>
      <c r="B14" s="360" t="s">
        <v>888</v>
      </c>
      <c r="F14" s="3"/>
      <c r="G14" s="3"/>
      <c r="H14" s="3"/>
      <c r="I14" s="3"/>
      <c r="J14" s="27"/>
      <c r="K14" s="27"/>
      <c r="V14" s="315"/>
      <c r="W14" s="315"/>
    </row>
    <row r="15" spans="1:23">
      <c r="A15" s="3"/>
      <c r="F15" s="3"/>
      <c r="G15" s="3"/>
      <c r="H15" s="3"/>
      <c r="I15" s="3"/>
      <c r="J15" s="27"/>
      <c r="K15" s="27"/>
      <c r="V15" s="315"/>
      <c r="W15" s="315"/>
    </row>
    <row r="16" spans="1:23">
      <c r="A16" s="3"/>
      <c r="B16" s="315" t="s">
        <v>889</v>
      </c>
      <c r="D16" s="315">
        <f>(D10-D12)/2</f>
        <v>65</v>
      </c>
      <c r="F16" s="3"/>
      <c r="G16" s="3"/>
      <c r="H16" s="3"/>
      <c r="I16" s="3"/>
      <c r="J16" s="27"/>
      <c r="K16" s="27"/>
      <c r="V16" s="315"/>
      <c r="W16" s="315"/>
    </row>
    <row r="17" spans="1:23">
      <c r="A17" s="3"/>
      <c r="B17" s="315" t="s">
        <v>890</v>
      </c>
      <c r="D17" s="315">
        <f>(D11-D10)/2</f>
        <v>30</v>
      </c>
      <c r="F17" s="3"/>
      <c r="G17" s="3"/>
      <c r="H17" s="3"/>
      <c r="I17" s="3"/>
      <c r="J17" s="27"/>
      <c r="K17" s="27"/>
      <c r="V17" s="315"/>
      <c r="W17" s="315"/>
    </row>
    <row r="18" spans="1:23">
      <c r="A18" s="3"/>
      <c r="B18" s="315" t="s">
        <v>891</v>
      </c>
      <c r="D18" s="298">
        <f>D12+D16</f>
        <v>110</v>
      </c>
      <c r="F18" s="3"/>
      <c r="G18" s="3"/>
      <c r="H18" s="3"/>
      <c r="I18" s="3"/>
      <c r="J18" s="27"/>
      <c r="K18" s="27"/>
      <c r="V18" s="315"/>
      <c r="W18" s="315"/>
    </row>
    <row r="19" spans="1:23">
      <c r="A19" s="3"/>
      <c r="B19" s="315" t="s">
        <v>892</v>
      </c>
      <c r="D19" s="298">
        <f>D17+D10</f>
        <v>205</v>
      </c>
      <c r="F19" s="3"/>
      <c r="G19" s="3"/>
      <c r="H19" s="3"/>
      <c r="I19" s="3"/>
      <c r="J19" s="27"/>
      <c r="K19" s="27"/>
      <c r="V19" s="315"/>
      <c r="W19" s="315"/>
    </row>
    <row r="20" spans="1:23">
      <c r="A20" s="3"/>
      <c r="B20" s="315" t="s">
        <v>893</v>
      </c>
      <c r="D20" s="298">
        <f>D19-D18</f>
        <v>95</v>
      </c>
      <c r="F20" s="3"/>
      <c r="G20" s="3"/>
      <c r="H20" s="3"/>
      <c r="I20" s="3"/>
      <c r="J20" s="27"/>
      <c r="K20" s="27"/>
      <c r="V20" s="315"/>
      <c r="W20" s="315"/>
    </row>
    <row r="21" spans="1:23">
      <c r="A21" s="3"/>
      <c r="F21" s="3"/>
      <c r="G21" s="3"/>
      <c r="H21" s="3"/>
      <c r="I21" s="3"/>
      <c r="J21" s="27"/>
      <c r="K21" s="27"/>
      <c r="V21" s="315"/>
      <c r="W21" s="315"/>
    </row>
    <row r="22" spans="1:23">
      <c r="A22" s="3"/>
      <c r="F22" s="3"/>
      <c r="G22" s="3"/>
      <c r="H22" s="3"/>
      <c r="I22" s="3"/>
      <c r="J22" s="27"/>
      <c r="K22" s="27"/>
      <c r="V22" s="315"/>
      <c r="W22" s="315"/>
    </row>
    <row r="23" spans="1:23">
      <c r="A23" s="3"/>
      <c r="F23" s="3"/>
      <c r="G23" s="3"/>
      <c r="H23" s="3"/>
      <c r="I23" s="3"/>
      <c r="J23" s="27"/>
      <c r="K23" s="27"/>
      <c r="V23" s="315"/>
      <c r="W23" s="315"/>
    </row>
    <row r="24" spans="1:23">
      <c r="A24" s="3"/>
      <c r="F24" s="3"/>
      <c r="G24" s="3"/>
      <c r="H24" s="3"/>
      <c r="I24" s="3"/>
      <c r="J24" s="27"/>
      <c r="K24" s="27"/>
      <c r="V24" s="315"/>
      <c r="W24" s="315"/>
    </row>
    <row r="25" spans="1:23" ht="15.75">
      <c r="A25" s="3"/>
      <c r="B25" s="359" t="s">
        <v>898</v>
      </c>
      <c r="F25" s="3"/>
      <c r="G25" s="3"/>
      <c r="H25" s="3"/>
      <c r="I25" s="3"/>
      <c r="J25" s="27"/>
      <c r="K25" s="27"/>
      <c r="V25" s="315"/>
      <c r="W25" s="315"/>
    </row>
    <row r="26" spans="1:23">
      <c r="A26" s="3"/>
      <c r="F26" s="3"/>
      <c r="G26" s="3"/>
      <c r="H26" s="3"/>
      <c r="I26" s="3"/>
      <c r="J26" s="27"/>
      <c r="K26" s="27"/>
      <c r="V26" s="315"/>
      <c r="W26" s="315"/>
    </row>
    <row r="27" spans="1:23">
      <c r="A27" s="3"/>
      <c r="B27" s="360" t="s">
        <v>884</v>
      </c>
      <c r="F27" s="3"/>
      <c r="G27" s="3"/>
      <c r="H27" s="3"/>
      <c r="I27" s="3"/>
      <c r="J27" s="27"/>
      <c r="K27" s="27"/>
      <c r="V27" s="315"/>
      <c r="W27" s="315"/>
    </row>
    <row r="28" spans="1:23">
      <c r="A28" s="3"/>
      <c r="F28" s="3"/>
      <c r="G28" s="3"/>
      <c r="H28" s="3"/>
      <c r="I28" s="3"/>
      <c r="J28" s="27"/>
      <c r="K28" s="27"/>
      <c r="V28" s="315"/>
      <c r="W28" s="315"/>
    </row>
    <row r="29" spans="1:23">
      <c r="A29" s="3"/>
      <c r="B29" s="315" t="s">
        <v>891</v>
      </c>
      <c r="D29" s="361">
        <v>100</v>
      </c>
      <c r="F29" s="3"/>
      <c r="G29" s="3"/>
      <c r="H29" s="3"/>
      <c r="I29" s="3"/>
      <c r="J29" s="27"/>
      <c r="K29" s="27"/>
      <c r="V29" s="315"/>
      <c r="W29" s="315"/>
    </row>
    <row r="30" spans="1:23">
      <c r="A30" s="3"/>
      <c r="B30" s="315" t="s">
        <v>892</v>
      </c>
      <c r="D30" s="361">
        <v>130</v>
      </c>
      <c r="F30" s="3"/>
      <c r="G30" s="3"/>
      <c r="H30" s="3"/>
      <c r="I30" s="3"/>
      <c r="J30" s="27"/>
      <c r="K30" s="27"/>
      <c r="V30" s="315"/>
      <c r="W30" s="315"/>
    </row>
    <row r="31" spans="1:23">
      <c r="A31" s="3"/>
      <c r="B31" s="315" t="s">
        <v>885</v>
      </c>
      <c r="D31" s="361">
        <v>150</v>
      </c>
      <c r="F31" s="3"/>
      <c r="G31" s="3"/>
      <c r="H31" s="3"/>
      <c r="I31" s="3"/>
      <c r="J31" s="27"/>
      <c r="K31" s="27"/>
      <c r="V31" s="315"/>
      <c r="W31" s="315"/>
    </row>
    <row r="32" spans="1:23">
      <c r="A32" s="3"/>
      <c r="F32" s="3"/>
      <c r="G32" s="3"/>
      <c r="H32" s="3"/>
      <c r="I32" s="3"/>
      <c r="J32" s="27"/>
      <c r="K32" s="27"/>
      <c r="V32" s="315"/>
      <c r="W32" s="315"/>
    </row>
    <row r="33" spans="1:23">
      <c r="A33" s="3"/>
      <c r="B33" s="360" t="s">
        <v>888</v>
      </c>
      <c r="F33" s="3"/>
      <c r="G33" s="3"/>
      <c r="H33" s="3"/>
      <c r="I33" s="3"/>
      <c r="J33" s="27"/>
      <c r="K33" s="27"/>
      <c r="V33" s="315"/>
      <c r="W33" s="315"/>
    </row>
    <row r="34" spans="1:23">
      <c r="A34" s="3"/>
      <c r="F34" s="3"/>
      <c r="G34" s="3"/>
      <c r="H34" s="3"/>
      <c r="I34" s="3"/>
      <c r="J34" s="27"/>
      <c r="K34" s="27"/>
      <c r="V34" s="315"/>
      <c r="W34" s="315"/>
    </row>
    <row r="35" spans="1:23">
      <c r="A35" s="3"/>
      <c r="B35" s="315" t="s">
        <v>894</v>
      </c>
      <c r="D35" s="315">
        <f>2*(D29)-D31</f>
        <v>50</v>
      </c>
      <c r="F35" s="3"/>
      <c r="G35" s="3"/>
      <c r="H35" s="3"/>
      <c r="I35" s="3"/>
      <c r="J35" s="27"/>
      <c r="K35" s="27"/>
      <c r="V35" s="315"/>
      <c r="W35" s="315"/>
    </row>
    <row r="36" spans="1:23">
      <c r="A36" s="3"/>
      <c r="B36" s="31" t="s">
        <v>895</v>
      </c>
      <c r="C36" s="31"/>
      <c r="D36" s="31">
        <f>2*(D30)-D31</f>
        <v>110</v>
      </c>
      <c r="E36" s="31"/>
      <c r="F36" s="3"/>
      <c r="G36" s="3"/>
      <c r="H36" s="3"/>
      <c r="I36" s="3"/>
      <c r="J36" s="27"/>
      <c r="K36" s="27"/>
      <c r="V36" s="315"/>
      <c r="W36" s="315"/>
    </row>
    <row r="37" spans="1:23" s="3" customFormat="1">
      <c r="B37" s="31"/>
      <c r="C37" s="31"/>
      <c r="D37" s="31"/>
      <c r="E37" s="31"/>
      <c r="J37" s="27"/>
      <c r="K37" s="27"/>
      <c r="L37" s="27"/>
      <c r="M37" s="27"/>
      <c r="N37" s="27"/>
      <c r="O37" s="27"/>
      <c r="P37" s="27"/>
      <c r="Q37" s="27"/>
      <c r="R37" s="27"/>
      <c r="S37" s="27"/>
      <c r="T37" s="27"/>
      <c r="U37" s="27"/>
    </row>
    <row r="38" spans="1:23" s="3" customFormat="1">
      <c r="B38" s="31"/>
      <c r="C38" s="363" t="s">
        <v>899</v>
      </c>
      <c r="D38" s="31">
        <f>D31+2*(D30-D31)</f>
        <v>110</v>
      </c>
      <c r="E38" s="31"/>
      <c r="J38" s="27"/>
      <c r="K38" s="27"/>
      <c r="L38" s="27"/>
      <c r="M38" s="27"/>
      <c r="N38" s="27"/>
      <c r="O38" s="27"/>
      <c r="P38" s="27"/>
      <c r="Q38" s="27"/>
      <c r="R38" s="27"/>
      <c r="S38" s="27"/>
      <c r="T38" s="27"/>
      <c r="U38" s="27"/>
    </row>
    <row r="39" spans="1:23" s="3" customFormat="1">
      <c r="B39" s="31"/>
      <c r="C39" s="31"/>
      <c r="D39" s="31">
        <f>D31-2*(D31-D29)</f>
        <v>50</v>
      </c>
      <c r="E39" s="31"/>
      <c r="J39" s="27"/>
      <c r="K39" s="27"/>
      <c r="L39" s="27"/>
      <c r="M39" s="27"/>
      <c r="N39" s="27"/>
      <c r="O39" s="27"/>
      <c r="P39" s="27"/>
      <c r="Q39" s="27"/>
      <c r="R39" s="27"/>
      <c r="S39" s="27"/>
      <c r="T39" s="27"/>
      <c r="U39" s="27"/>
    </row>
    <row r="40" spans="1:23" s="3" customFormat="1">
      <c r="B40" s="31"/>
      <c r="C40" s="31"/>
      <c r="D40" s="31"/>
      <c r="E40" s="31"/>
      <c r="J40" s="27"/>
      <c r="K40" s="27"/>
      <c r="L40" s="27"/>
      <c r="M40" s="27"/>
      <c r="N40" s="27"/>
      <c r="O40" s="27"/>
      <c r="P40" s="27"/>
      <c r="Q40" s="27"/>
      <c r="R40" s="27"/>
      <c r="S40" s="27"/>
      <c r="T40" s="27"/>
      <c r="U40" s="27"/>
    </row>
    <row r="41" spans="1:23" s="3" customFormat="1">
      <c r="L41" s="27"/>
      <c r="M41" s="27"/>
      <c r="N41" s="27"/>
      <c r="O41" s="27"/>
      <c r="P41" s="27"/>
      <c r="Q41" s="27"/>
      <c r="R41" s="27"/>
      <c r="S41" s="27"/>
      <c r="T41" s="27"/>
      <c r="U41" s="27"/>
      <c r="V41" s="27"/>
      <c r="W41" s="27"/>
    </row>
    <row r="42" spans="1:23" s="3" customFormat="1">
      <c r="L42" s="27"/>
      <c r="M42" s="27"/>
      <c r="N42" s="27"/>
      <c r="O42" s="27"/>
      <c r="P42" s="27"/>
      <c r="Q42" s="27"/>
      <c r="R42" s="27"/>
      <c r="S42" s="27"/>
      <c r="T42" s="27"/>
      <c r="U42" s="27"/>
      <c r="V42" s="27"/>
      <c r="W42" s="27"/>
    </row>
    <row r="43" spans="1:23" s="3" customFormat="1">
      <c r="L43" s="27"/>
      <c r="M43" s="27"/>
      <c r="N43" s="27"/>
      <c r="O43" s="27"/>
      <c r="P43" s="27"/>
      <c r="Q43" s="27"/>
      <c r="R43" s="27"/>
      <c r="S43" s="27"/>
      <c r="T43" s="27"/>
      <c r="U43" s="27"/>
      <c r="V43" s="27"/>
      <c r="W43" s="27"/>
    </row>
    <row r="44" spans="1:23" s="3" customFormat="1">
      <c r="B44" s="1" t="s">
        <v>900</v>
      </c>
      <c r="C44" s="1"/>
      <c r="D44" s="1"/>
      <c r="E44" s="1"/>
      <c r="F44" s="1"/>
      <c r="G44" s="1"/>
      <c r="H44" s="1"/>
      <c r="I44" s="1"/>
      <c r="J44" s="1"/>
      <c r="K44" s="1"/>
      <c r="L44" s="1"/>
      <c r="M44" s="1"/>
      <c r="N44" s="27"/>
      <c r="O44" s="27"/>
      <c r="P44" s="27"/>
      <c r="Q44" s="27"/>
      <c r="R44" s="27"/>
      <c r="S44" s="27"/>
      <c r="T44" s="27"/>
      <c r="U44" s="27"/>
      <c r="V44" s="27"/>
      <c r="W44" s="27"/>
    </row>
    <row r="45" spans="1:23" s="3" customFormat="1">
      <c r="B45" s="1" t="s">
        <v>901</v>
      </c>
      <c r="C45" s="1"/>
      <c r="D45" s="1"/>
      <c r="E45" s="1"/>
      <c r="F45" s="1"/>
      <c r="G45" s="1"/>
      <c r="H45" s="1"/>
      <c r="I45" s="1"/>
      <c r="J45" s="1"/>
      <c r="K45" s="1"/>
      <c r="L45" s="1"/>
      <c r="M45" s="1"/>
      <c r="N45" s="27"/>
      <c r="O45" s="27"/>
      <c r="P45" s="27"/>
      <c r="Q45" s="27"/>
      <c r="R45" s="27"/>
      <c r="S45" s="27"/>
      <c r="T45" s="27"/>
      <c r="U45" s="27"/>
      <c r="V45" s="27"/>
      <c r="W45" s="27"/>
    </row>
    <row r="46" spans="1:23" s="3" customFormat="1">
      <c r="B46" s="1" t="s">
        <v>902</v>
      </c>
      <c r="C46" s="1"/>
      <c r="D46" s="1"/>
      <c r="E46" s="1"/>
      <c r="F46" s="1"/>
      <c r="G46" s="1"/>
      <c r="H46" s="1"/>
      <c r="I46" s="1"/>
      <c r="J46" s="1"/>
      <c r="K46" s="1"/>
      <c r="L46" s="1"/>
      <c r="M46" s="1"/>
      <c r="N46" s="27"/>
      <c r="O46" s="27"/>
      <c r="P46" s="27"/>
      <c r="Q46" s="27"/>
      <c r="R46" s="27"/>
      <c r="S46" s="27"/>
      <c r="T46" s="27"/>
      <c r="U46" s="27"/>
      <c r="V46" s="27"/>
      <c r="W46" s="27"/>
    </row>
    <row r="47" spans="1:23" s="3" customFormat="1">
      <c r="B47" s="1" t="s">
        <v>903</v>
      </c>
      <c r="C47" s="1"/>
      <c r="D47" s="1"/>
      <c r="E47" s="1"/>
      <c r="F47" s="1"/>
      <c r="G47" s="1"/>
      <c r="H47" s="1"/>
      <c r="I47" s="1"/>
      <c r="J47" s="1"/>
      <c r="K47" s="1"/>
      <c r="L47" s="1"/>
      <c r="M47" s="1"/>
      <c r="N47" s="27"/>
      <c r="O47" s="27"/>
      <c r="P47" s="27"/>
      <c r="Q47" s="27"/>
      <c r="R47" s="27"/>
      <c r="S47" s="27"/>
      <c r="T47" s="27"/>
      <c r="U47" s="27"/>
      <c r="V47" s="27"/>
      <c r="W47" s="27"/>
    </row>
    <row r="48" spans="1:23" s="3" customFormat="1">
      <c r="B48" s="1"/>
      <c r="C48" s="1"/>
      <c r="D48" s="1"/>
      <c r="E48" s="1"/>
      <c r="F48" s="1"/>
      <c r="G48" s="1"/>
      <c r="H48" s="1"/>
      <c r="I48" s="1"/>
      <c r="J48" s="1"/>
      <c r="K48" s="1"/>
      <c r="L48" s="1"/>
      <c r="M48" s="1"/>
      <c r="N48" s="27"/>
      <c r="O48" s="27"/>
      <c r="P48" s="27"/>
      <c r="Q48" s="27"/>
      <c r="R48" s="27"/>
      <c r="S48" s="27"/>
      <c r="T48" s="27"/>
      <c r="U48" s="27"/>
      <c r="V48" s="27"/>
      <c r="W48" s="27"/>
    </row>
    <row r="49" spans="2:23" s="3" customFormat="1">
      <c r="B49" s="32" t="s">
        <v>904</v>
      </c>
      <c r="C49" s="361">
        <v>164</v>
      </c>
      <c r="D49" s="32" t="s">
        <v>212</v>
      </c>
      <c r="E49" s="1"/>
      <c r="F49" s="1"/>
      <c r="G49" s="1"/>
      <c r="H49" s="1"/>
      <c r="I49" s="1"/>
      <c r="J49" s="1"/>
      <c r="K49" s="1"/>
      <c r="L49" s="1"/>
      <c r="M49" s="1"/>
      <c r="N49" s="27"/>
      <c r="O49" s="27"/>
      <c r="P49" s="27"/>
      <c r="Q49" s="27"/>
      <c r="R49" s="27"/>
      <c r="S49" s="27"/>
      <c r="T49" s="27"/>
      <c r="U49" s="27"/>
      <c r="V49" s="27"/>
      <c r="W49" s="27"/>
    </row>
    <row r="50" spans="2:23" s="3" customFormat="1">
      <c r="B50" s="32" t="s">
        <v>905</v>
      </c>
      <c r="C50" s="361">
        <v>190</v>
      </c>
      <c r="D50" s="32" t="s">
        <v>212</v>
      </c>
      <c r="E50" s="1"/>
      <c r="F50" s="1"/>
      <c r="G50" s="1"/>
      <c r="H50" s="1"/>
      <c r="I50" s="1"/>
      <c r="J50" s="1"/>
      <c r="K50" s="1"/>
      <c r="L50" s="1"/>
      <c r="M50" s="1"/>
      <c r="N50" s="27"/>
      <c r="O50" s="27"/>
      <c r="P50" s="27"/>
      <c r="Q50" s="27"/>
      <c r="R50" s="27"/>
      <c r="S50" s="27"/>
      <c r="T50" s="27"/>
      <c r="U50" s="27"/>
      <c r="V50" s="27"/>
      <c r="W50" s="27"/>
    </row>
    <row r="51" spans="2:23" s="3" customFormat="1">
      <c r="B51" s="32" t="s">
        <v>906</v>
      </c>
      <c r="C51" s="361">
        <v>50</v>
      </c>
      <c r="D51" s="32" t="s">
        <v>212</v>
      </c>
      <c r="E51" s="1"/>
      <c r="F51" s="1"/>
      <c r="G51" s="1"/>
      <c r="H51" s="1"/>
      <c r="I51" s="1"/>
      <c r="J51" s="1"/>
      <c r="K51" s="1"/>
      <c r="L51" s="1"/>
      <c r="M51" s="1"/>
      <c r="N51" s="27"/>
      <c r="O51" s="27"/>
      <c r="P51" s="27"/>
      <c r="Q51" s="27"/>
      <c r="R51" s="27"/>
      <c r="S51" s="27"/>
      <c r="T51" s="27"/>
      <c r="U51" s="27"/>
      <c r="V51" s="27"/>
      <c r="W51" s="27"/>
    </row>
    <row r="52" spans="2:23" s="3" customFormat="1">
      <c r="B52" s="32"/>
      <c r="C52" s="32"/>
      <c r="D52" s="32"/>
      <c r="E52" s="1"/>
      <c r="F52" s="1"/>
      <c r="G52" s="1"/>
      <c r="H52" s="1"/>
      <c r="I52" s="1"/>
      <c r="J52" s="1"/>
      <c r="K52" s="1"/>
      <c r="L52" s="1"/>
      <c r="M52" s="1"/>
      <c r="N52" s="27"/>
      <c r="O52" s="27"/>
      <c r="P52" s="27"/>
      <c r="Q52" s="27"/>
      <c r="R52" s="27"/>
      <c r="S52" s="27"/>
      <c r="T52" s="27"/>
      <c r="U52" s="27"/>
      <c r="V52" s="27"/>
      <c r="W52" s="27"/>
    </row>
    <row r="53" spans="2:23" s="3" customFormat="1">
      <c r="B53" s="32" t="s">
        <v>907</v>
      </c>
      <c r="C53" s="365">
        <f>C49+(C50-C49)/2</f>
        <v>177</v>
      </c>
      <c r="D53" s="32" t="s">
        <v>212</v>
      </c>
      <c r="E53" s="1"/>
      <c r="F53" s="1"/>
      <c r="G53" s="1"/>
      <c r="H53" s="1"/>
      <c r="I53" s="1"/>
      <c r="J53" s="1"/>
      <c r="K53" s="1"/>
      <c r="L53" s="1"/>
      <c r="M53" s="1"/>
      <c r="N53" s="27"/>
      <c r="O53" s="27"/>
      <c r="P53" s="27"/>
      <c r="Q53" s="27"/>
      <c r="R53" s="27"/>
      <c r="S53" s="27"/>
      <c r="T53" s="27"/>
      <c r="U53" s="27"/>
      <c r="V53" s="27"/>
      <c r="W53" s="27"/>
    </row>
    <row r="54" spans="2:23" s="3" customFormat="1">
      <c r="B54" s="32" t="s">
        <v>908</v>
      </c>
      <c r="C54" s="365">
        <f>C49-(C49-C51)/2</f>
        <v>107</v>
      </c>
      <c r="D54" s="32" t="s">
        <v>212</v>
      </c>
      <c r="E54" s="1"/>
      <c r="F54" s="1"/>
      <c r="G54" s="1"/>
      <c r="H54" s="1"/>
      <c r="I54" s="1"/>
      <c r="J54" s="1"/>
      <c r="K54" s="1"/>
      <c r="L54" s="1"/>
      <c r="M54" s="1"/>
      <c r="N54" s="27"/>
      <c r="O54" s="27"/>
      <c r="P54" s="27"/>
      <c r="Q54" s="27"/>
      <c r="R54" s="27"/>
      <c r="S54" s="27"/>
      <c r="T54" s="27"/>
      <c r="U54" s="27"/>
      <c r="V54" s="27"/>
      <c r="W54" s="27"/>
    </row>
    <row r="55" spans="2:23" s="3" customFormat="1">
      <c r="B55" s="32" t="s">
        <v>909</v>
      </c>
      <c r="C55" s="365">
        <f>C53-C54</f>
        <v>70</v>
      </c>
      <c r="D55" s="32" t="s">
        <v>212</v>
      </c>
      <c r="E55" s="1"/>
      <c r="F55" s="1"/>
      <c r="G55" s="1"/>
      <c r="H55" s="1"/>
      <c r="I55" s="1"/>
      <c r="J55" s="1"/>
      <c r="K55" s="1"/>
      <c r="L55" s="1"/>
      <c r="M55" s="1"/>
      <c r="N55" s="27"/>
      <c r="O55" s="27"/>
      <c r="P55" s="27"/>
      <c r="Q55" s="27"/>
      <c r="R55" s="27"/>
      <c r="S55" s="27"/>
      <c r="T55" s="27"/>
      <c r="U55" s="27"/>
      <c r="V55" s="27"/>
      <c r="W55" s="27"/>
    </row>
    <row r="56" spans="2:23" s="3" customFormat="1">
      <c r="B56" s="1"/>
      <c r="C56" s="1"/>
      <c r="D56" s="1"/>
      <c r="E56" s="1"/>
      <c r="F56" s="1"/>
      <c r="G56" s="1"/>
      <c r="H56" s="1"/>
      <c r="I56" s="1"/>
      <c r="J56" s="1"/>
      <c r="K56" s="1"/>
      <c r="L56" s="1"/>
      <c r="M56" s="1"/>
      <c r="N56" s="27"/>
      <c r="O56" s="27"/>
      <c r="P56" s="27"/>
      <c r="Q56" s="27"/>
      <c r="R56" s="27"/>
      <c r="S56" s="27"/>
      <c r="T56" s="27"/>
      <c r="U56" s="27"/>
      <c r="V56" s="27"/>
      <c r="W56" s="27"/>
    </row>
    <row r="57" spans="2:23" s="3" customFormat="1">
      <c r="B57" s="1" t="str">
        <f>"Die Spiegeloberkante befindet sich auf einer Höhe von " &amp; ROUND(C53,2) &amp; " cm."</f>
        <v>Die Spiegeloberkante befindet sich auf einer Höhe von 177 cm.</v>
      </c>
      <c r="C57" s="1"/>
      <c r="D57" s="1"/>
      <c r="E57" s="1"/>
      <c r="F57" s="1"/>
      <c r="G57" s="1"/>
      <c r="H57" s="1"/>
      <c r="I57" s="1"/>
      <c r="J57" s="1"/>
      <c r="K57" s="1"/>
      <c r="L57" s="1"/>
      <c r="M57" s="1"/>
      <c r="N57" s="27"/>
      <c r="O57" s="27"/>
      <c r="P57" s="27"/>
      <c r="Q57" s="27"/>
      <c r="R57" s="27"/>
      <c r="S57" s="27"/>
      <c r="T57" s="27"/>
      <c r="U57" s="27"/>
      <c r="V57" s="27"/>
      <c r="W57" s="27"/>
    </row>
    <row r="58" spans="2:23" s="3" customFormat="1">
      <c r="B58" s="1" t="str">
        <f>"Die Spiegelunterkante befindet sich auf einer Höhe von " &amp; ROUND(C54,2) &amp; " cm."</f>
        <v>Die Spiegelunterkante befindet sich auf einer Höhe von 107 cm.</v>
      </c>
      <c r="C58" s="1"/>
      <c r="D58" s="1"/>
      <c r="E58" s="1"/>
      <c r="F58" s="1"/>
      <c r="G58" s="1"/>
      <c r="H58" s="1"/>
      <c r="I58" s="1"/>
      <c r="J58" s="1"/>
      <c r="K58" s="1"/>
      <c r="L58" s="1"/>
      <c r="M58" s="1"/>
      <c r="N58" s="27"/>
      <c r="O58" s="27"/>
      <c r="P58" s="27"/>
      <c r="Q58" s="27"/>
      <c r="R58" s="27"/>
      <c r="S58" s="27"/>
      <c r="T58" s="27"/>
      <c r="U58" s="27"/>
      <c r="V58" s="27"/>
      <c r="W58" s="27"/>
    </row>
    <row r="59" spans="2:23" s="3" customFormat="1">
      <c r="B59" s="1" t="str">
        <f>"Man muss einen Spiegel mit einer Höhe von " &amp; ROUND(C55,2) &amp; " cm kaufen."</f>
        <v>Man muss einen Spiegel mit einer Höhe von 70 cm kaufen.</v>
      </c>
      <c r="C59" s="1"/>
      <c r="D59" s="1"/>
      <c r="E59" s="1"/>
      <c r="F59" s="1"/>
      <c r="G59" s="1"/>
      <c r="H59" s="1"/>
      <c r="I59" s="1"/>
      <c r="J59" s="1"/>
      <c r="K59" s="1"/>
      <c r="L59" s="1"/>
      <c r="M59" s="1"/>
      <c r="N59" s="27"/>
      <c r="O59" s="27"/>
      <c r="P59" s="27"/>
      <c r="Q59" s="27"/>
      <c r="R59" s="27"/>
      <c r="S59" s="27"/>
      <c r="T59" s="27"/>
      <c r="U59" s="27"/>
      <c r="V59" s="27"/>
      <c r="W59" s="27"/>
    </row>
    <row r="60" spans="2:23" s="3" customFormat="1">
      <c r="B60" s="1"/>
      <c r="C60" s="1"/>
      <c r="D60" s="1"/>
      <c r="E60" s="1"/>
      <c r="F60" s="1"/>
      <c r="G60" s="1"/>
      <c r="H60" s="1"/>
      <c r="I60" s="1"/>
      <c r="J60" s="1"/>
      <c r="K60" s="1"/>
      <c r="L60" s="1"/>
      <c r="M60" s="1"/>
      <c r="N60" s="27"/>
      <c r="O60" s="27"/>
      <c r="P60" s="27"/>
      <c r="Q60" s="27"/>
      <c r="R60" s="27"/>
      <c r="S60" s="27"/>
      <c r="T60" s="27"/>
      <c r="U60" s="27"/>
      <c r="V60" s="27"/>
      <c r="W60" s="27"/>
    </row>
    <row r="61" spans="2:23" s="3" customFormat="1">
      <c r="B61" s="1"/>
      <c r="C61" s="1"/>
      <c r="D61" s="1"/>
      <c r="E61" s="1"/>
      <c r="F61" s="1"/>
      <c r="G61" s="1"/>
      <c r="H61" s="1" t="s">
        <v>910</v>
      </c>
      <c r="I61" s="1"/>
      <c r="J61" s="1"/>
      <c r="K61" s="1"/>
      <c r="L61" s="1"/>
      <c r="M61" s="1"/>
      <c r="N61" s="27"/>
      <c r="O61" s="27"/>
      <c r="P61" s="27"/>
      <c r="Q61" s="27"/>
      <c r="R61" s="27"/>
      <c r="S61" s="27"/>
      <c r="T61" s="27"/>
      <c r="U61" s="27"/>
      <c r="V61" s="27"/>
      <c r="W61" s="27"/>
    </row>
    <row r="62" spans="2:23" s="3" customFormat="1">
      <c r="B62" s="1"/>
      <c r="C62" s="1"/>
      <c r="D62" s="1"/>
      <c r="E62" s="1"/>
      <c r="F62" s="1"/>
      <c r="G62" s="1"/>
      <c r="H62" s="1" t="s">
        <v>911</v>
      </c>
      <c r="I62" s="1"/>
      <c r="J62" s="1"/>
      <c r="K62" s="1"/>
      <c r="L62" s="1"/>
      <c r="M62" s="1"/>
      <c r="N62" s="27"/>
      <c r="O62" s="27"/>
      <c r="P62" s="27"/>
      <c r="Q62" s="27"/>
      <c r="R62" s="27"/>
      <c r="S62" s="27"/>
      <c r="T62" s="27"/>
      <c r="U62" s="27"/>
      <c r="V62" s="27"/>
      <c r="W62" s="27"/>
    </row>
    <row r="63" spans="2:23" s="3" customFormat="1">
      <c r="B63" s="1"/>
      <c r="C63" s="1"/>
      <c r="D63" s="1"/>
      <c r="E63" s="1"/>
      <c r="F63" s="1"/>
      <c r="G63" s="1"/>
      <c r="H63" s="1"/>
      <c r="I63" s="1"/>
      <c r="J63" s="1"/>
      <c r="K63" s="1"/>
      <c r="L63" s="1"/>
      <c r="M63" s="1"/>
      <c r="N63" s="27"/>
      <c r="O63" s="27"/>
      <c r="P63" s="27"/>
      <c r="Q63" s="27"/>
      <c r="R63" s="27"/>
      <c r="S63" s="27"/>
      <c r="T63" s="27"/>
      <c r="U63" s="27"/>
      <c r="V63" s="27"/>
      <c r="W63" s="27"/>
    </row>
    <row r="64" spans="2:23" s="3" customFormat="1">
      <c r="B64" s="1"/>
      <c r="C64" s="1"/>
      <c r="D64" s="1"/>
      <c r="E64" s="1"/>
      <c r="F64" s="1"/>
      <c r="H64" s="1" t="s">
        <v>912</v>
      </c>
      <c r="I64" s="1"/>
      <c r="J64" s="1"/>
      <c r="K64" s="1"/>
      <c r="L64" s="1"/>
      <c r="M64" s="1"/>
      <c r="N64" s="27"/>
      <c r="O64" s="27"/>
      <c r="P64" s="27"/>
      <c r="Q64" s="27"/>
      <c r="R64" s="27"/>
      <c r="S64" s="27"/>
      <c r="T64" s="27"/>
      <c r="U64" s="27"/>
      <c r="V64" s="27"/>
      <c r="W64" s="27"/>
    </row>
    <row r="65" spans="2:23" s="3" customFormat="1">
      <c r="B65" s="1"/>
      <c r="C65" s="1"/>
      <c r="D65" s="1"/>
      <c r="E65" s="1"/>
      <c r="F65" s="1"/>
      <c r="H65" s="1"/>
      <c r="I65" s="1"/>
      <c r="J65" s="1"/>
      <c r="K65" s="1"/>
      <c r="L65" s="1"/>
      <c r="M65" s="1"/>
      <c r="N65" s="27"/>
      <c r="O65" s="27"/>
      <c r="P65" s="27"/>
      <c r="Q65" s="27"/>
      <c r="R65" s="27"/>
      <c r="S65" s="27"/>
      <c r="T65" s="27"/>
      <c r="U65" s="27"/>
      <c r="V65" s="27"/>
      <c r="W65" s="27"/>
    </row>
    <row r="66" spans="2:23" s="3" customFormat="1">
      <c r="B66" s="1"/>
      <c r="C66" s="1"/>
      <c r="D66" s="1"/>
      <c r="E66" s="1"/>
      <c r="F66" s="1"/>
      <c r="H66" s="1"/>
      <c r="I66" s="1"/>
      <c r="J66" s="1"/>
      <c r="K66" s="1"/>
      <c r="L66" s="1"/>
      <c r="M66" s="1"/>
      <c r="N66" s="27"/>
      <c r="O66" s="27"/>
      <c r="P66" s="27"/>
      <c r="Q66" s="27"/>
      <c r="R66" s="27"/>
      <c r="S66" s="27"/>
      <c r="T66" s="27"/>
      <c r="U66" s="27"/>
      <c r="V66" s="27"/>
      <c r="W66" s="27"/>
    </row>
    <row r="67" spans="2:23" s="3" customFormat="1">
      <c r="B67" s="1"/>
      <c r="C67" s="1"/>
      <c r="D67" s="1"/>
      <c r="E67" s="1"/>
      <c r="F67" s="1"/>
      <c r="H67" s="1"/>
      <c r="I67" s="1"/>
      <c r="J67" s="1"/>
      <c r="K67" s="1"/>
      <c r="L67" s="1"/>
      <c r="M67" s="1"/>
      <c r="N67" s="27"/>
      <c r="O67" s="27"/>
      <c r="P67" s="27"/>
      <c r="Q67" s="27"/>
      <c r="R67" s="27"/>
      <c r="S67" s="27"/>
      <c r="T67" s="27"/>
      <c r="U67" s="27"/>
      <c r="V67" s="27"/>
      <c r="W67" s="27"/>
    </row>
    <row r="68" spans="2:23" s="3" customFormat="1">
      <c r="B68" s="1"/>
      <c r="C68" s="1"/>
      <c r="D68" s="1"/>
      <c r="E68" s="1"/>
      <c r="F68" s="1"/>
      <c r="H68" s="1"/>
      <c r="I68" s="1"/>
      <c r="J68" s="1"/>
      <c r="K68" s="1"/>
      <c r="L68" s="1"/>
      <c r="M68" s="1"/>
      <c r="N68" s="27"/>
      <c r="O68" s="27"/>
      <c r="P68" s="27"/>
      <c r="Q68" s="27"/>
      <c r="R68" s="27"/>
      <c r="S68" s="27"/>
      <c r="T68" s="27"/>
      <c r="U68" s="27"/>
      <c r="V68" s="27"/>
      <c r="W68" s="27"/>
    </row>
    <row r="69" spans="2:23" s="3" customFormat="1">
      <c r="B69" s="1"/>
      <c r="C69" s="1"/>
      <c r="D69" s="1"/>
      <c r="E69" s="1"/>
      <c r="F69" s="1"/>
      <c r="H69" s="1"/>
      <c r="I69" s="1"/>
      <c r="J69" s="1"/>
      <c r="K69" s="1"/>
      <c r="L69" s="1"/>
      <c r="M69" s="1"/>
      <c r="N69" s="27"/>
      <c r="O69" s="27"/>
      <c r="P69" s="27"/>
      <c r="Q69" s="27"/>
      <c r="R69" s="27"/>
      <c r="S69" s="27"/>
      <c r="T69" s="27"/>
      <c r="U69" s="27"/>
      <c r="V69" s="27"/>
      <c r="W69" s="27"/>
    </row>
    <row r="70" spans="2:23" s="3" customFormat="1">
      <c r="B70" s="1" t="s">
        <v>913</v>
      </c>
      <c r="C70" s="1"/>
      <c r="D70" s="1"/>
      <c r="E70" s="1"/>
      <c r="F70" s="1"/>
      <c r="G70" s="1"/>
      <c r="H70" s="1"/>
      <c r="I70" s="1"/>
      <c r="J70" s="1"/>
      <c r="K70" s="1"/>
      <c r="L70" s="1"/>
      <c r="M70" s="1"/>
      <c r="N70" s="27"/>
      <c r="O70" s="27"/>
      <c r="P70" s="27"/>
      <c r="Q70" s="27"/>
      <c r="R70" s="27"/>
      <c r="S70" s="27"/>
      <c r="T70" s="27"/>
      <c r="U70" s="27"/>
      <c r="V70" s="27"/>
      <c r="W70" s="27"/>
    </row>
    <row r="71" spans="2:23" s="3" customFormat="1">
      <c r="B71" s="1" t="s">
        <v>914</v>
      </c>
      <c r="C71" s="1"/>
      <c r="D71" s="1"/>
      <c r="E71" s="1"/>
      <c r="F71" s="1"/>
      <c r="G71" s="1"/>
      <c r="H71" s="1"/>
      <c r="I71" s="1"/>
      <c r="J71" s="1"/>
      <c r="K71" s="1"/>
      <c r="L71" s="1"/>
      <c r="M71" s="1"/>
      <c r="N71" s="27"/>
      <c r="O71" s="27"/>
      <c r="P71" s="27"/>
      <c r="Q71" s="27"/>
      <c r="R71" s="27"/>
      <c r="S71" s="27"/>
      <c r="T71" s="27"/>
      <c r="U71" s="27"/>
      <c r="V71" s="27"/>
      <c r="W71" s="27"/>
    </row>
    <row r="72" spans="2:23" s="3" customFormat="1">
      <c r="B72" s="1" t="s">
        <v>915</v>
      </c>
      <c r="C72" s="1"/>
      <c r="D72" s="1"/>
      <c r="E72" s="1"/>
      <c r="F72" s="1"/>
      <c r="G72" s="1"/>
      <c r="H72" s="1"/>
      <c r="I72" s="1"/>
      <c r="J72" s="1"/>
      <c r="K72" s="1"/>
      <c r="L72" s="1"/>
      <c r="M72" s="1"/>
      <c r="N72" s="27"/>
      <c r="O72" s="27"/>
      <c r="P72" s="27"/>
      <c r="Q72" s="27"/>
      <c r="R72" s="27"/>
      <c r="S72" s="27"/>
      <c r="T72" s="27"/>
      <c r="U72" s="27"/>
      <c r="V72" s="27"/>
      <c r="W72" s="27"/>
    </row>
    <row r="73" spans="2:23" s="3" customFormat="1">
      <c r="B73" s="1" t="s">
        <v>916</v>
      </c>
      <c r="C73" s="1"/>
      <c r="D73" s="1"/>
      <c r="E73" s="1"/>
      <c r="F73" s="1"/>
      <c r="G73" s="1"/>
      <c r="H73" s="1"/>
      <c r="I73" s="1"/>
      <c r="J73" s="1"/>
      <c r="K73" s="1"/>
      <c r="L73" s="1"/>
      <c r="M73" s="1"/>
      <c r="N73" s="27"/>
      <c r="O73" s="27"/>
      <c r="P73" s="27"/>
      <c r="Q73" s="27"/>
      <c r="R73" s="27"/>
      <c r="S73" s="27"/>
      <c r="T73" s="27"/>
      <c r="U73" s="27"/>
      <c r="V73" s="27"/>
      <c r="W73" s="27"/>
    </row>
    <row r="74" spans="2:23" s="3" customFormat="1">
      <c r="B74" s="1"/>
      <c r="C74" s="1"/>
      <c r="D74" s="1"/>
      <c r="E74" s="1"/>
      <c r="F74" s="1"/>
      <c r="G74" s="1"/>
      <c r="H74" s="1"/>
      <c r="I74" s="1"/>
      <c r="J74" s="1"/>
      <c r="K74" s="1"/>
      <c r="L74" s="1"/>
      <c r="M74" s="1"/>
      <c r="N74" s="27"/>
      <c r="O74" s="27"/>
      <c r="P74" s="27"/>
      <c r="Q74" s="27"/>
      <c r="R74" s="27"/>
      <c r="S74" s="27"/>
      <c r="T74" s="27"/>
      <c r="U74" s="27"/>
      <c r="V74" s="27"/>
      <c r="W74" s="27"/>
    </row>
    <row r="75" spans="2:23" s="3" customFormat="1">
      <c r="B75" s="1"/>
      <c r="C75" s="1"/>
      <c r="D75" s="1"/>
      <c r="E75" s="1"/>
      <c r="F75" s="1"/>
      <c r="G75" s="1"/>
      <c r="H75" s="1"/>
      <c r="I75" s="1"/>
      <c r="J75" s="1"/>
      <c r="K75" s="1"/>
      <c r="L75" s="1"/>
      <c r="M75" s="1"/>
      <c r="N75" s="27"/>
      <c r="O75" s="27"/>
      <c r="P75" s="27"/>
      <c r="Q75" s="27"/>
      <c r="R75" s="27"/>
      <c r="S75" s="27"/>
      <c r="T75" s="27"/>
      <c r="U75" s="27"/>
      <c r="V75" s="27"/>
      <c r="W75" s="27"/>
    </row>
    <row r="76" spans="2:23" s="3" customFormat="1">
      <c r="B76" s="32" t="s">
        <v>917</v>
      </c>
      <c r="C76" s="361">
        <v>170</v>
      </c>
      <c r="D76" s="32" t="s">
        <v>212</v>
      </c>
      <c r="E76" s="1"/>
      <c r="F76" s="1"/>
      <c r="G76" s="1"/>
      <c r="H76" s="1"/>
      <c r="I76" s="1"/>
      <c r="J76" s="1"/>
      <c r="K76" s="1"/>
      <c r="L76" s="1"/>
      <c r="M76" s="1"/>
      <c r="N76" s="27"/>
      <c r="O76" s="27"/>
      <c r="P76" s="27"/>
      <c r="Q76" s="27"/>
      <c r="R76" s="27"/>
      <c r="S76" s="27"/>
      <c r="T76" s="27"/>
      <c r="U76" s="27"/>
      <c r="V76" s="27"/>
      <c r="W76" s="27"/>
    </row>
    <row r="77" spans="2:23" s="3" customFormat="1">
      <c r="B77" s="32" t="s">
        <v>909</v>
      </c>
      <c r="C77" s="361">
        <v>43</v>
      </c>
      <c r="D77" s="32" t="s">
        <v>212</v>
      </c>
      <c r="E77" s="1"/>
      <c r="F77" s="1"/>
      <c r="G77" s="1"/>
      <c r="H77" s="1"/>
      <c r="I77" s="1"/>
      <c r="J77" s="1"/>
      <c r="K77" s="1"/>
      <c r="L77" s="1"/>
      <c r="M77" s="1"/>
      <c r="N77" s="27"/>
      <c r="O77" s="27"/>
      <c r="P77" s="27"/>
      <c r="Q77" s="27"/>
      <c r="R77" s="27"/>
      <c r="S77" s="27"/>
      <c r="T77" s="27"/>
      <c r="U77" s="27"/>
      <c r="V77" s="27"/>
      <c r="W77" s="27"/>
    </row>
    <row r="78" spans="2:23" s="3" customFormat="1">
      <c r="B78" s="32" t="s">
        <v>918</v>
      </c>
      <c r="C78" s="361">
        <v>182</v>
      </c>
      <c r="D78" s="32" t="s">
        <v>212</v>
      </c>
      <c r="E78" s="1"/>
      <c r="F78" s="1"/>
      <c r="G78" s="1"/>
      <c r="H78" s="1"/>
      <c r="I78" s="1"/>
      <c r="J78" s="1"/>
      <c r="K78" s="1"/>
      <c r="L78" s="1"/>
      <c r="M78" s="1"/>
      <c r="N78" s="27"/>
      <c r="O78" s="27"/>
      <c r="P78" s="27"/>
      <c r="Q78" s="27"/>
      <c r="R78" s="27"/>
      <c r="S78" s="27"/>
      <c r="T78" s="27"/>
      <c r="U78" s="27"/>
      <c r="V78" s="27"/>
      <c r="W78" s="27"/>
    </row>
    <row r="79" spans="2:23" s="3" customFormat="1">
      <c r="B79" s="32"/>
      <c r="C79" s="32"/>
      <c r="D79" s="32"/>
      <c r="E79" s="1"/>
      <c r="F79" s="1"/>
      <c r="G79" s="1"/>
      <c r="H79" s="1"/>
      <c r="I79" s="1"/>
      <c r="J79" s="1"/>
      <c r="K79" s="1"/>
      <c r="L79" s="1"/>
      <c r="M79" s="1"/>
      <c r="N79" s="27"/>
      <c r="O79" s="27"/>
      <c r="P79" s="27"/>
      <c r="Q79" s="27"/>
      <c r="R79" s="27"/>
      <c r="S79" s="27"/>
      <c r="T79" s="27"/>
      <c r="U79" s="27"/>
      <c r="V79" s="27"/>
      <c r="W79" s="27"/>
    </row>
    <row r="80" spans="2:23" s="3" customFormat="1">
      <c r="B80" s="32" t="s">
        <v>919</v>
      </c>
      <c r="C80" s="32">
        <f>C78-C77</f>
        <v>139</v>
      </c>
      <c r="D80" s="32" t="s">
        <v>212</v>
      </c>
      <c r="E80" s="1"/>
      <c r="F80" s="1"/>
      <c r="G80" s="1"/>
      <c r="H80" s="1"/>
      <c r="I80" s="1"/>
      <c r="J80" s="1"/>
      <c r="K80" s="1"/>
      <c r="L80" s="1"/>
      <c r="M80" s="1"/>
      <c r="N80" s="27"/>
      <c r="O80" s="27"/>
      <c r="P80" s="27"/>
      <c r="Q80" s="27"/>
      <c r="R80" s="27"/>
      <c r="S80" s="27"/>
      <c r="T80" s="27"/>
      <c r="U80" s="27"/>
      <c r="V80" s="27"/>
      <c r="W80" s="27"/>
    </row>
    <row r="81" spans="1:23" s="3" customFormat="1">
      <c r="B81" s="32" t="s">
        <v>920</v>
      </c>
      <c r="C81" s="32">
        <f>C76+(C78-C76)*2</f>
        <v>194</v>
      </c>
      <c r="D81" s="32" t="s">
        <v>212</v>
      </c>
      <c r="E81" s="1"/>
      <c r="F81" s="1"/>
      <c r="G81" s="1"/>
      <c r="H81" s="1"/>
      <c r="I81" s="1"/>
      <c r="J81" s="1"/>
      <c r="K81" s="1"/>
      <c r="L81" s="1"/>
      <c r="M81" s="1"/>
      <c r="N81" s="27"/>
      <c r="O81" s="27"/>
      <c r="P81" s="27"/>
      <c r="Q81" s="27"/>
      <c r="R81" s="27"/>
      <c r="S81" s="27"/>
      <c r="T81" s="27"/>
      <c r="U81" s="27"/>
      <c r="V81" s="27"/>
      <c r="W81" s="27"/>
    </row>
    <row r="82" spans="1:23" s="3" customFormat="1">
      <c r="B82" s="32" t="s">
        <v>921</v>
      </c>
      <c r="C82" s="32">
        <f>C76-(C76-C80) * 2</f>
        <v>108</v>
      </c>
      <c r="D82" s="32" t="s">
        <v>212</v>
      </c>
      <c r="E82" s="1"/>
      <c r="F82" s="1"/>
      <c r="G82" s="1"/>
      <c r="H82" s="1"/>
      <c r="I82" s="1"/>
      <c r="J82" s="1"/>
      <c r="K82" s="1"/>
      <c r="L82" s="1"/>
      <c r="M82" s="1"/>
      <c r="N82" s="27"/>
      <c r="O82" s="27"/>
      <c r="P82" s="27"/>
      <c r="Q82" s="27"/>
      <c r="R82" s="27"/>
      <c r="S82" s="27"/>
      <c r="T82" s="27"/>
      <c r="U82" s="27"/>
      <c r="V82" s="27"/>
      <c r="W82" s="27"/>
    </row>
    <row r="83" spans="1:23" s="3" customFormat="1">
      <c r="B83" s="1"/>
      <c r="C83" s="1"/>
      <c r="D83" s="1"/>
      <c r="E83" s="1"/>
      <c r="F83" s="1"/>
      <c r="G83" s="1"/>
      <c r="H83" s="1"/>
      <c r="I83" s="1"/>
      <c r="J83" s="1"/>
      <c r="K83" s="1"/>
      <c r="L83" s="1"/>
      <c r="M83" s="1"/>
      <c r="N83" s="27"/>
      <c r="O83" s="27"/>
      <c r="P83" s="27"/>
      <c r="Q83" s="27"/>
      <c r="R83" s="27"/>
      <c r="S83" s="27"/>
      <c r="T83" s="27"/>
      <c r="U83" s="27"/>
      <c r="V83" s="27"/>
      <c r="W83" s="27"/>
    </row>
    <row r="84" spans="1:23" s="3" customFormat="1">
      <c r="B84" s="1" t="str">
        <f>"Die Person sieht sich von " &amp; ROUND(C82,1) &amp; " cm bis " &amp; ROUND(C81,1) &amp; " cm Höhe."</f>
        <v>Die Person sieht sich von 108 cm bis 194 cm Höhe.</v>
      </c>
      <c r="C84" s="1"/>
      <c r="D84" s="1"/>
      <c r="E84" s="1"/>
      <c r="F84" s="1"/>
      <c r="G84" s="1"/>
      <c r="H84" s="1"/>
      <c r="I84" s="1"/>
      <c r="J84" s="1"/>
      <c r="K84" s="1"/>
      <c r="L84" s="1"/>
      <c r="M84" s="1"/>
      <c r="N84" s="27"/>
      <c r="O84" s="27"/>
      <c r="P84" s="27"/>
      <c r="Q84" s="27"/>
      <c r="R84" s="27"/>
      <c r="S84" s="27"/>
      <c r="T84" s="27"/>
      <c r="U84" s="27"/>
      <c r="V84" s="27"/>
      <c r="W84" s="27"/>
    </row>
    <row r="85" spans="1:23" s="3" customFormat="1">
      <c r="L85" s="27"/>
      <c r="M85" s="27"/>
      <c r="N85" s="27"/>
      <c r="O85" s="27"/>
      <c r="P85" s="27"/>
      <c r="Q85" s="27"/>
      <c r="R85" s="27"/>
      <c r="S85" s="27"/>
      <c r="T85" s="27"/>
      <c r="U85" s="27"/>
      <c r="V85" s="27"/>
      <c r="W85" s="27"/>
    </row>
    <row r="86" spans="1:23">
      <c r="A86" s="27"/>
      <c r="B86" s="27"/>
      <c r="C86" s="27"/>
      <c r="D86" s="27"/>
      <c r="E86" s="27"/>
      <c r="F86" s="27"/>
      <c r="G86" s="27"/>
      <c r="H86" s="27"/>
      <c r="I86" s="27"/>
      <c r="J86" s="27"/>
      <c r="K86" s="27"/>
    </row>
    <row r="87" spans="1:23">
      <c r="A87" s="27"/>
      <c r="B87" s="27"/>
      <c r="C87" s="27"/>
      <c r="D87" s="27"/>
      <c r="E87" s="27"/>
      <c r="F87" s="27"/>
      <c r="G87" s="27"/>
      <c r="H87" s="27"/>
      <c r="I87" s="27"/>
      <c r="J87" s="27"/>
      <c r="K87" s="27"/>
    </row>
    <row r="88" spans="1:23">
      <c r="A88" s="27"/>
      <c r="B88" s="27"/>
      <c r="C88" s="27"/>
      <c r="D88" s="27"/>
      <c r="E88" s="27"/>
      <c r="F88" s="27"/>
      <c r="G88" s="27"/>
      <c r="H88" s="27"/>
      <c r="I88" s="27"/>
      <c r="J88" s="27"/>
      <c r="K88" s="27"/>
    </row>
    <row r="89" spans="1:23" ht="15">
      <c r="A89" s="27"/>
      <c r="B89" s="366" t="s">
        <v>922</v>
      </c>
      <c r="C89" s="24"/>
      <c r="D89" s="24"/>
      <c r="E89" s="24"/>
      <c r="F89" s="27"/>
      <c r="G89" s="27"/>
      <c r="H89" s="27"/>
      <c r="I89" s="27"/>
      <c r="J89" s="27"/>
      <c r="K89" s="27"/>
    </row>
    <row r="90" spans="1:23" ht="15">
      <c r="A90" s="27"/>
      <c r="B90" s="366" t="s">
        <v>923</v>
      </c>
      <c r="C90" s="24"/>
      <c r="D90" s="24"/>
      <c r="E90" s="24"/>
      <c r="F90" s="27"/>
      <c r="G90" s="27"/>
      <c r="H90" s="27"/>
      <c r="I90" s="27"/>
      <c r="J90" s="27"/>
      <c r="K90" s="27"/>
    </row>
    <row r="91" spans="1:23">
      <c r="A91" s="27"/>
      <c r="B91" s="24"/>
      <c r="C91" s="24"/>
      <c r="D91" s="24"/>
      <c r="E91" s="24"/>
      <c r="F91" s="27"/>
      <c r="G91" s="27"/>
      <c r="H91" s="27"/>
      <c r="I91" s="27"/>
      <c r="J91" s="27"/>
      <c r="K91" s="27"/>
    </row>
    <row r="92" spans="1:23">
      <c r="A92" s="27"/>
      <c r="B92" s="24" t="s">
        <v>924</v>
      </c>
      <c r="C92" s="24"/>
      <c r="D92" s="24"/>
      <c r="E92" s="24"/>
      <c r="F92" s="27"/>
      <c r="G92" s="27"/>
      <c r="H92" s="27"/>
      <c r="I92" s="27"/>
      <c r="J92" s="27"/>
      <c r="K92" s="27"/>
    </row>
    <row r="93" spans="1:23">
      <c r="A93" s="27"/>
      <c r="B93" s="24"/>
      <c r="C93" s="24"/>
      <c r="D93" s="24"/>
      <c r="E93" s="24"/>
      <c r="F93" s="27"/>
      <c r="G93" s="27"/>
      <c r="H93" s="27"/>
      <c r="I93" s="27"/>
      <c r="J93" s="27"/>
      <c r="K93" s="27"/>
    </row>
    <row r="94" spans="1:23">
      <c r="A94" s="27"/>
      <c r="B94" s="24"/>
      <c r="C94" s="24"/>
      <c r="D94" s="24"/>
      <c r="E94" s="24"/>
      <c r="F94" s="27"/>
      <c r="G94" s="27"/>
      <c r="H94" s="27"/>
      <c r="I94" s="27"/>
      <c r="J94" s="27"/>
      <c r="K94" s="27"/>
    </row>
    <row r="95" spans="1:23" ht="15">
      <c r="A95" s="27"/>
      <c r="B95" s="367" t="s">
        <v>909</v>
      </c>
      <c r="C95" s="361">
        <v>76</v>
      </c>
      <c r="D95" s="367" t="s">
        <v>212</v>
      </c>
      <c r="E95" s="366"/>
      <c r="F95" s="27"/>
      <c r="G95" s="27"/>
      <c r="H95" s="27"/>
      <c r="I95" s="27"/>
      <c r="J95" s="27"/>
      <c r="K95" s="27"/>
    </row>
    <row r="96" spans="1:23" ht="15">
      <c r="A96" s="27"/>
      <c r="B96" s="367" t="s">
        <v>925</v>
      </c>
      <c r="C96" s="361">
        <v>136</v>
      </c>
      <c r="D96" s="367" t="s">
        <v>212</v>
      </c>
      <c r="E96" s="366"/>
      <c r="F96" s="27"/>
      <c r="G96" s="27"/>
      <c r="H96" s="27"/>
      <c r="I96" s="27"/>
      <c r="J96" s="27"/>
      <c r="K96" s="27"/>
    </row>
    <row r="97" spans="1:11" ht="15">
      <c r="A97" s="27"/>
      <c r="B97" s="367" t="s">
        <v>917</v>
      </c>
      <c r="C97" s="361">
        <v>168</v>
      </c>
      <c r="D97" s="367" t="s">
        <v>212</v>
      </c>
      <c r="E97" s="366"/>
      <c r="F97" s="27"/>
      <c r="G97" s="27"/>
      <c r="H97" s="27"/>
      <c r="I97" s="27"/>
      <c r="J97" s="27"/>
      <c r="K97" s="27"/>
    </row>
    <row r="98" spans="1:11" ht="15">
      <c r="A98" s="27"/>
      <c r="B98" s="367"/>
      <c r="C98" s="367"/>
      <c r="D98" s="367"/>
      <c r="E98" s="366"/>
      <c r="F98" s="27"/>
      <c r="G98" s="27"/>
      <c r="H98" s="27"/>
      <c r="I98" s="27"/>
      <c r="J98" s="27"/>
      <c r="K98" s="27"/>
    </row>
    <row r="99" spans="1:11" ht="15">
      <c r="A99" s="27"/>
      <c r="B99" s="367" t="s">
        <v>919</v>
      </c>
      <c r="C99" s="367">
        <f>C96-C95</f>
        <v>60</v>
      </c>
      <c r="D99" s="367" t="s">
        <v>212</v>
      </c>
      <c r="E99" s="366"/>
      <c r="F99" s="27"/>
      <c r="G99" s="27"/>
      <c r="H99" s="27"/>
      <c r="I99" s="27"/>
      <c r="J99" s="27"/>
      <c r="K99" s="27"/>
    </row>
    <row r="100" spans="1:11" ht="15">
      <c r="A100" s="27"/>
      <c r="B100" s="32"/>
      <c r="C100" s="367"/>
      <c r="D100" s="367"/>
      <c r="E100" s="366"/>
      <c r="F100" s="27"/>
      <c r="G100" s="27"/>
      <c r="H100" s="27"/>
      <c r="I100" s="27"/>
      <c r="J100" s="27"/>
      <c r="K100" s="27"/>
    </row>
    <row r="101" spans="1:11" ht="15">
      <c r="A101" s="27"/>
      <c r="B101" s="367" t="s">
        <v>926</v>
      </c>
      <c r="C101" s="367">
        <f>C97-(C97-C96)*2</f>
        <v>104</v>
      </c>
      <c r="D101" s="367" t="s">
        <v>212</v>
      </c>
      <c r="E101" s="366"/>
      <c r="F101" s="27"/>
      <c r="G101" s="27"/>
      <c r="H101" s="27"/>
      <c r="I101" s="27"/>
      <c r="J101" s="27"/>
      <c r="K101" s="27"/>
    </row>
    <row r="102" spans="1:11" ht="15">
      <c r="A102" s="27"/>
      <c r="B102" s="367" t="s">
        <v>927</v>
      </c>
      <c r="C102" s="367">
        <f>C97-(C97-C99)*2</f>
        <v>-48</v>
      </c>
      <c r="D102" s="367" t="s">
        <v>212</v>
      </c>
      <c r="E102" s="366"/>
      <c r="F102" s="27"/>
      <c r="G102" s="27"/>
      <c r="H102" s="27"/>
      <c r="I102" s="27"/>
      <c r="J102" s="27"/>
      <c r="K102" s="27"/>
    </row>
    <row r="103" spans="1:11">
      <c r="A103" s="27"/>
      <c r="B103" s="27"/>
      <c r="C103" s="27"/>
      <c r="D103" s="27"/>
      <c r="E103" s="27"/>
      <c r="F103" s="27"/>
      <c r="G103" s="27"/>
      <c r="H103" s="27"/>
      <c r="I103" s="27"/>
      <c r="J103" s="27"/>
      <c r="K103" s="27"/>
    </row>
    <row r="104" spans="1:11">
      <c r="A104" s="27"/>
      <c r="B104" s="27"/>
      <c r="C104" s="27"/>
      <c r="D104" s="27"/>
      <c r="E104" s="27"/>
      <c r="F104" s="27"/>
      <c r="G104" s="27"/>
      <c r="H104" s="27"/>
      <c r="I104" s="27"/>
      <c r="J104" s="27"/>
      <c r="K104" s="27"/>
    </row>
    <row r="105" spans="1:11">
      <c r="A105" s="27"/>
      <c r="B105" s="27"/>
      <c r="C105" s="27"/>
      <c r="D105" s="27"/>
      <c r="E105" s="27"/>
      <c r="F105" s="27"/>
      <c r="G105" s="27"/>
      <c r="H105" s="27"/>
      <c r="I105" s="27"/>
      <c r="J105" s="27"/>
      <c r="K105" s="27"/>
    </row>
    <row r="106" spans="1:11">
      <c r="A106" s="27"/>
      <c r="B106" s="27"/>
      <c r="C106" s="27"/>
      <c r="D106" s="27"/>
      <c r="E106" s="27"/>
      <c r="F106" s="27"/>
      <c r="G106" s="27"/>
      <c r="H106" s="27"/>
      <c r="I106" s="27"/>
      <c r="J106" s="27"/>
      <c r="K106" s="27"/>
    </row>
    <row r="107" spans="1:11">
      <c r="A107" s="27"/>
      <c r="B107" s="27"/>
      <c r="C107" s="27"/>
      <c r="D107" s="27"/>
      <c r="E107" s="27"/>
      <c r="F107" s="27"/>
      <c r="G107" s="27"/>
      <c r="H107" s="27"/>
      <c r="I107" s="27"/>
      <c r="J107" s="27"/>
      <c r="K107" s="27"/>
    </row>
    <row r="108" spans="1:11">
      <c r="A108" s="27"/>
      <c r="B108" s="1" t="s">
        <v>928</v>
      </c>
      <c r="C108" s="1"/>
      <c r="D108" s="1"/>
      <c r="E108" s="1"/>
      <c r="F108" s="1"/>
      <c r="G108" s="27"/>
      <c r="H108" s="27"/>
      <c r="I108" s="27"/>
      <c r="J108" s="27"/>
      <c r="K108" s="27"/>
    </row>
    <row r="109" spans="1:11">
      <c r="A109" s="27"/>
      <c r="B109" s="1" t="s">
        <v>929</v>
      </c>
      <c r="C109" s="1"/>
      <c r="D109" s="1"/>
      <c r="E109" s="1"/>
      <c r="F109" s="1"/>
      <c r="G109" s="27"/>
      <c r="H109" s="27"/>
      <c r="I109" s="27"/>
      <c r="J109" s="27"/>
      <c r="K109" s="27"/>
    </row>
    <row r="110" spans="1:11">
      <c r="A110" s="27"/>
      <c r="B110" s="1" t="s">
        <v>930</v>
      </c>
      <c r="C110" s="1"/>
      <c r="D110" s="1"/>
      <c r="E110" s="1"/>
      <c r="F110" s="1"/>
      <c r="G110" s="27"/>
      <c r="H110" s="27"/>
      <c r="I110" s="27"/>
      <c r="J110" s="27"/>
      <c r="K110" s="27"/>
    </row>
    <row r="111" spans="1:11">
      <c r="A111" s="27"/>
      <c r="B111" s="1" t="s">
        <v>931</v>
      </c>
      <c r="C111" s="1"/>
      <c r="D111" s="1"/>
      <c r="E111" s="1"/>
      <c r="F111" s="1"/>
      <c r="G111" s="27"/>
      <c r="H111" s="27"/>
      <c r="I111" s="27"/>
      <c r="J111" s="27"/>
      <c r="K111" s="27"/>
    </row>
    <row r="112" spans="1:11">
      <c r="A112" s="27"/>
      <c r="B112" s="1" t="s">
        <v>932</v>
      </c>
      <c r="C112" s="1"/>
      <c r="D112" s="1"/>
      <c r="E112" s="1"/>
      <c r="F112" s="1"/>
      <c r="G112" s="27"/>
      <c r="H112" s="27"/>
      <c r="I112" s="27"/>
      <c r="J112" s="27"/>
      <c r="K112" s="27"/>
    </row>
    <row r="113" spans="1:11">
      <c r="A113" s="27"/>
      <c r="B113" s="1" t="s">
        <v>933</v>
      </c>
      <c r="C113" s="1"/>
      <c r="D113" s="1"/>
      <c r="E113" s="1"/>
      <c r="F113" s="1"/>
      <c r="G113" s="27"/>
      <c r="H113" s="27"/>
      <c r="I113" s="27"/>
      <c r="J113" s="27"/>
      <c r="K113" s="27"/>
    </row>
    <row r="114" spans="1:11">
      <c r="A114" s="27"/>
      <c r="B114" s="1"/>
      <c r="C114" s="1"/>
      <c r="D114" s="1"/>
      <c r="E114" s="1"/>
      <c r="F114" s="1"/>
      <c r="G114" s="27"/>
      <c r="H114" s="27"/>
      <c r="I114" s="27"/>
      <c r="J114" s="27"/>
      <c r="K114" s="27"/>
    </row>
    <row r="115" spans="1:11">
      <c r="A115" s="27"/>
      <c r="B115" s="1"/>
      <c r="C115" s="1"/>
      <c r="D115" s="1"/>
      <c r="E115" s="1"/>
      <c r="F115" s="1"/>
      <c r="G115" s="27"/>
      <c r="H115" s="27"/>
      <c r="I115" s="27"/>
      <c r="J115" s="27"/>
      <c r="K115" s="27"/>
    </row>
    <row r="116" spans="1:11">
      <c r="A116" s="27"/>
      <c r="B116" s="1"/>
      <c r="C116" s="1"/>
      <c r="D116" s="1"/>
      <c r="E116" s="1"/>
      <c r="F116" s="1"/>
      <c r="G116" s="27"/>
      <c r="H116" s="27"/>
      <c r="I116" s="27"/>
      <c r="J116" s="27"/>
      <c r="K116" s="27"/>
    </row>
    <row r="117" spans="1:11">
      <c r="A117" s="27"/>
      <c r="B117" s="326" t="s">
        <v>934</v>
      </c>
      <c r="C117" s="1"/>
      <c r="D117" s="1"/>
      <c r="E117" s="1"/>
      <c r="F117" s="1"/>
      <c r="G117" s="27"/>
      <c r="H117" s="27"/>
      <c r="I117" s="27"/>
      <c r="J117" s="27"/>
      <c r="K117" s="27"/>
    </row>
    <row r="118" spans="1:11">
      <c r="A118" s="27"/>
      <c r="B118" s="1"/>
      <c r="C118" s="1"/>
      <c r="D118" s="1"/>
      <c r="E118" s="1"/>
      <c r="F118" s="1"/>
      <c r="G118" s="27"/>
      <c r="H118" s="27"/>
      <c r="I118" s="27"/>
      <c r="J118" s="27"/>
      <c r="K118" s="27"/>
    </row>
    <row r="119" spans="1:11">
      <c r="A119" s="27"/>
      <c r="B119"/>
      <c r="C119"/>
      <c r="D119"/>
      <c r="E119" s="1"/>
      <c r="F119" s="1"/>
      <c r="G119" s="27"/>
      <c r="H119" s="27"/>
      <c r="I119" s="27"/>
      <c r="J119" s="27"/>
      <c r="K119" s="27"/>
    </row>
    <row r="120" spans="1:11">
      <c r="A120" s="27"/>
      <c r="B120" t="s">
        <v>935</v>
      </c>
      <c r="C120"/>
      <c r="D120"/>
      <c r="E120" s="1"/>
      <c r="F120" s="1"/>
      <c r="G120" s="27"/>
      <c r="H120" s="27"/>
      <c r="I120" s="27"/>
      <c r="J120" s="27"/>
      <c r="K120" s="27"/>
    </row>
    <row r="121" spans="1:11">
      <c r="A121" s="27"/>
      <c r="B121" s="56" t="s">
        <v>936</v>
      </c>
      <c r="C121" s="326">
        <v>170</v>
      </c>
      <c r="D121" t="s">
        <v>212</v>
      </c>
      <c r="E121" s="1"/>
      <c r="F121" s="1"/>
      <c r="G121" s="27"/>
      <c r="H121" s="27"/>
      <c r="I121" s="27"/>
      <c r="J121" s="27"/>
      <c r="K121" s="27"/>
    </row>
    <row r="122" spans="1:11">
      <c r="A122" s="27"/>
      <c r="B122" s="56" t="s">
        <v>937</v>
      </c>
      <c r="C122" s="326">
        <v>186</v>
      </c>
      <c r="D122" t="s">
        <v>212</v>
      </c>
      <c r="E122" s="1"/>
      <c r="F122" s="1"/>
      <c r="G122" s="27"/>
      <c r="H122" s="27"/>
      <c r="I122" s="27"/>
      <c r="J122" s="27"/>
      <c r="K122" s="27"/>
    </row>
    <row r="123" spans="1:11">
      <c r="A123" s="27"/>
      <c r="B123" s="56" t="s">
        <v>927</v>
      </c>
      <c r="C123">
        <f>C122/2</f>
        <v>93</v>
      </c>
      <c r="D123" t="s">
        <v>212</v>
      </c>
      <c r="E123" s="1"/>
      <c r="F123" s="1"/>
      <c r="G123" s="27"/>
      <c r="H123" s="27"/>
      <c r="I123" s="27"/>
      <c r="J123" s="27"/>
      <c r="K123" s="27"/>
    </row>
    <row r="124" spans="1:11">
      <c r="A124" s="27"/>
      <c r="B124" s="56" t="s">
        <v>938</v>
      </c>
      <c r="C124" s="326">
        <v>20</v>
      </c>
      <c r="D124" t="s">
        <v>212</v>
      </c>
      <c r="E124" s="1"/>
      <c r="F124" s="1"/>
      <c r="G124" s="27"/>
      <c r="H124" s="27"/>
      <c r="I124" s="27"/>
      <c r="J124" s="27"/>
      <c r="K124" s="27"/>
    </row>
    <row r="125" spans="1:11">
      <c r="A125" s="27"/>
      <c r="B125"/>
      <c r="C125"/>
      <c r="D125"/>
      <c r="E125" s="1"/>
      <c r="F125" s="1"/>
      <c r="G125" s="27"/>
      <c r="H125" s="27"/>
      <c r="I125" s="27"/>
      <c r="J125" s="27"/>
      <c r="K125" s="27"/>
    </row>
    <row r="126" spans="1:11">
      <c r="A126" s="27"/>
      <c r="B126" t="s">
        <v>939</v>
      </c>
      <c r="C126"/>
      <c r="D126"/>
      <c r="E126" s="1"/>
      <c r="F126" s="1"/>
      <c r="G126" s="27"/>
      <c r="H126" s="27"/>
      <c r="I126" s="27"/>
      <c r="J126" s="27"/>
      <c r="K126" s="27"/>
    </row>
    <row r="127" spans="1:11">
      <c r="A127" s="27"/>
      <c r="B127" s="56" t="s">
        <v>936</v>
      </c>
      <c r="C127" s="326">
        <v>155</v>
      </c>
      <c r="D127" t="s">
        <v>212</v>
      </c>
      <c r="E127" s="1"/>
      <c r="F127" s="1"/>
      <c r="G127" s="27"/>
      <c r="H127" s="27"/>
      <c r="I127" s="27"/>
      <c r="J127" s="27"/>
      <c r="K127" s="27"/>
    </row>
    <row r="128" spans="1:11">
      <c r="A128" s="27"/>
      <c r="B128" s="56" t="s">
        <v>937</v>
      </c>
      <c r="C128" s="326">
        <v>172</v>
      </c>
      <c r="D128" t="s">
        <v>212</v>
      </c>
      <c r="E128" s="1"/>
      <c r="F128" s="1"/>
      <c r="G128" s="27"/>
      <c r="H128" s="27"/>
      <c r="I128" s="27"/>
      <c r="J128" s="27"/>
      <c r="K128" s="27"/>
    </row>
    <row r="129" spans="1:11">
      <c r="A129" s="27"/>
      <c r="B129" s="56" t="s">
        <v>927</v>
      </c>
      <c r="C129">
        <f>C128/2</f>
        <v>86</v>
      </c>
      <c r="D129"/>
      <c r="E129" s="1"/>
      <c r="F129" s="1"/>
      <c r="G129" s="27"/>
      <c r="H129" s="27"/>
      <c r="I129" s="27"/>
      <c r="J129" s="27"/>
      <c r="K129" s="27"/>
    </row>
    <row r="130" spans="1:11">
      <c r="A130" s="27"/>
      <c r="B130" s="56" t="s">
        <v>938</v>
      </c>
      <c r="C130" s="326">
        <v>20</v>
      </c>
      <c r="D130" t="s">
        <v>212</v>
      </c>
      <c r="E130" s="1"/>
      <c r="F130" s="1"/>
      <c r="G130" s="27"/>
      <c r="H130" s="27"/>
      <c r="I130" s="27"/>
      <c r="J130" s="27"/>
      <c r="K130" s="27"/>
    </row>
    <row r="131" spans="1:11">
      <c r="A131" s="27"/>
      <c r="B131"/>
      <c r="C131"/>
      <c r="D131"/>
      <c r="E131" s="1"/>
      <c r="F131" s="1"/>
      <c r="G131" s="27"/>
      <c r="H131" s="27"/>
      <c r="I131" s="27"/>
      <c r="J131" s="27"/>
      <c r="K131" s="27"/>
    </row>
    <row r="132" spans="1:11">
      <c r="A132" s="27"/>
      <c r="B132" s="56" t="s">
        <v>940</v>
      </c>
      <c r="C132" s="368">
        <f>((C122+C124)-C121)/2</f>
        <v>18</v>
      </c>
      <c r="D132"/>
      <c r="E132" s="1"/>
      <c r="F132" s="1"/>
      <c r="G132" s="27"/>
      <c r="H132" s="27"/>
      <c r="I132" s="27"/>
      <c r="J132" s="27"/>
      <c r="K132" s="27"/>
    </row>
    <row r="133" spans="1:11">
      <c r="A133" s="27"/>
      <c r="B133" s="56" t="s">
        <v>941</v>
      </c>
      <c r="C133">
        <f>(C121-C123)/2</f>
        <v>38.5</v>
      </c>
      <c r="D133"/>
      <c r="E133" s="1"/>
      <c r="F133" s="1"/>
      <c r="G133" s="27"/>
      <c r="H133" s="27"/>
      <c r="I133" s="27"/>
      <c r="J133" s="27"/>
      <c r="K133" s="27"/>
    </row>
    <row r="134" spans="1:11">
      <c r="A134" s="27"/>
      <c r="B134" s="56" t="s">
        <v>942</v>
      </c>
      <c r="C134">
        <f>(C128+C130-C127)/2</f>
        <v>18.5</v>
      </c>
      <c r="D134"/>
      <c r="E134" s="1"/>
      <c r="F134" s="1"/>
      <c r="G134" s="27"/>
      <c r="H134" s="27"/>
      <c r="I134" s="27"/>
      <c r="J134" s="27"/>
      <c r="K134" s="27"/>
    </row>
    <row r="135" spans="1:11">
      <c r="A135" s="27"/>
      <c r="B135" s="56" t="s">
        <v>943</v>
      </c>
      <c r="C135">
        <f>(C127-C129)/2</f>
        <v>34.5</v>
      </c>
      <c r="D135"/>
      <c r="E135" s="1"/>
      <c r="F135" s="1"/>
      <c r="G135" s="27"/>
      <c r="H135" s="27"/>
      <c r="I135" s="27"/>
      <c r="J135" s="27"/>
      <c r="K135" s="27"/>
    </row>
    <row r="136" spans="1:11">
      <c r="A136" s="27"/>
      <c r="B136"/>
      <c r="C136"/>
      <c r="D136"/>
      <c r="E136" s="1"/>
      <c r="F136" s="1"/>
      <c r="G136" s="27"/>
      <c r="H136" s="27"/>
      <c r="I136" s="27"/>
      <c r="J136" s="27"/>
      <c r="K136" s="27"/>
    </row>
    <row r="137" spans="1:11">
      <c r="A137" s="27"/>
      <c r="B137"/>
      <c r="C137"/>
      <c r="D137"/>
      <c r="E137" s="1"/>
      <c r="F137" s="1"/>
      <c r="G137" s="27"/>
      <c r="H137" s="27"/>
      <c r="I137" s="27"/>
      <c r="J137" s="27"/>
      <c r="K137" s="27"/>
    </row>
    <row r="138" spans="1:11">
      <c r="A138" s="27"/>
      <c r="B138" s="369" t="s">
        <v>944</v>
      </c>
      <c r="C138" s="315">
        <f>C121-C133</f>
        <v>131.5</v>
      </c>
      <c r="D138" s="315" t="s">
        <v>212</v>
      </c>
      <c r="E138" s="1"/>
      <c r="F138" s="1"/>
      <c r="G138" s="27"/>
      <c r="H138" s="27"/>
      <c r="I138" s="27"/>
      <c r="J138" s="27"/>
      <c r="K138" s="27"/>
    </row>
    <row r="139" spans="1:11">
      <c r="A139" s="27"/>
      <c r="B139" t="s">
        <v>945</v>
      </c>
      <c r="C139" s="315">
        <f>C121+C132</f>
        <v>188</v>
      </c>
      <c r="D139" s="315" t="s">
        <v>212</v>
      </c>
      <c r="E139" s="1"/>
      <c r="F139" s="1"/>
      <c r="G139" s="27"/>
      <c r="H139" s="27"/>
      <c r="I139" s="27"/>
      <c r="J139" s="27"/>
      <c r="K139" s="27"/>
    </row>
    <row r="140" spans="1:11">
      <c r="A140" s="27"/>
      <c r="B140"/>
      <c r="E140" s="1"/>
      <c r="F140" s="1"/>
      <c r="G140" s="27"/>
      <c r="H140" s="27"/>
      <c r="I140" s="27"/>
      <c r="J140" s="27"/>
      <c r="K140" s="27"/>
    </row>
    <row r="141" spans="1:11">
      <c r="A141" s="27"/>
      <c r="B141" s="369" t="s">
        <v>946</v>
      </c>
      <c r="C141" s="315">
        <f>C127-C135</f>
        <v>120.5</v>
      </c>
      <c r="D141" s="315" t="s">
        <v>212</v>
      </c>
      <c r="E141" s="1"/>
      <c r="F141" s="1"/>
      <c r="G141" s="27"/>
      <c r="H141" s="27"/>
      <c r="I141" s="27"/>
      <c r="J141" s="27"/>
      <c r="K141" s="27"/>
    </row>
    <row r="142" spans="1:11">
      <c r="A142" s="27"/>
      <c r="B142" t="s">
        <v>947</v>
      </c>
      <c r="C142" s="315">
        <f>C127+C134</f>
        <v>173.5</v>
      </c>
      <c r="D142" s="315" t="s">
        <v>212</v>
      </c>
      <c r="E142" s="1"/>
      <c r="F142" s="1"/>
      <c r="G142" s="27"/>
      <c r="H142" s="27"/>
      <c r="I142" s="27"/>
      <c r="J142" s="27"/>
      <c r="K142" s="27"/>
    </row>
    <row r="143" spans="1:11">
      <c r="A143" s="27"/>
      <c r="B143"/>
      <c r="E143" s="1"/>
      <c r="F143" s="1"/>
      <c r="G143" s="27"/>
      <c r="H143" s="27"/>
      <c r="I143" s="27"/>
      <c r="J143" s="27"/>
      <c r="K143" s="27"/>
    </row>
    <row r="144" spans="1:11">
      <c r="A144" s="27"/>
      <c r="B144" t="s">
        <v>948</v>
      </c>
      <c r="C144" s="118">
        <f>C139</f>
        <v>188</v>
      </c>
      <c r="D144" s="315" t="s">
        <v>212</v>
      </c>
      <c r="E144" s="1"/>
      <c r="F144" s="1"/>
      <c r="G144" s="27"/>
      <c r="H144" s="27"/>
      <c r="I144" s="27"/>
      <c r="J144" s="27"/>
      <c r="K144" s="27"/>
    </row>
    <row r="145" spans="1:11">
      <c r="A145" s="27"/>
      <c r="B145" t="s">
        <v>949</v>
      </c>
      <c r="C145" s="118">
        <f>C141</f>
        <v>120.5</v>
      </c>
      <c r="D145" s="315" t="s">
        <v>212</v>
      </c>
      <c r="E145" s="1"/>
      <c r="F145" s="1"/>
      <c r="G145" s="27"/>
      <c r="H145" s="27"/>
      <c r="I145" s="27"/>
      <c r="J145" s="27"/>
      <c r="K145" s="27"/>
    </row>
    <row r="146" spans="1:11">
      <c r="A146" s="27"/>
      <c r="B146"/>
      <c r="C146"/>
      <c r="D146"/>
      <c r="E146" s="1"/>
      <c r="F146" s="1"/>
      <c r="G146" s="27"/>
      <c r="H146" s="27"/>
      <c r="I146" s="27"/>
      <c r="J146" s="27"/>
      <c r="K146" s="27"/>
    </row>
    <row r="147" spans="1:11">
      <c r="A147" s="27"/>
      <c r="B147" t="s">
        <v>909</v>
      </c>
      <c r="C147" s="118">
        <f>C144-C145</f>
        <v>67.5</v>
      </c>
      <c r="D147" t="s">
        <v>212</v>
      </c>
      <c r="E147" s="1"/>
      <c r="F147" s="1"/>
      <c r="G147" s="27"/>
      <c r="H147" s="27"/>
      <c r="I147" s="27"/>
      <c r="J147" s="27"/>
      <c r="K147" s="27"/>
    </row>
    <row r="148" spans="1:11">
      <c r="A148" s="27"/>
      <c r="B148"/>
      <c r="C148"/>
      <c r="D148"/>
      <c r="E148" s="1"/>
      <c r="F148" s="1"/>
      <c r="G148" s="27"/>
      <c r="H148" s="27"/>
      <c r="I148" s="27"/>
      <c r="J148" s="27"/>
      <c r="K148" s="27"/>
    </row>
    <row r="149" spans="1:11">
      <c r="A149" s="27"/>
      <c r="B149" t="str">
        <f>"Der für beide Personen passende Spiegel hat eine optimale Höhe von "&amp;C147&amp;" cm"</f>
        <v>Der für beide Personen passende Spiegel hat eine optimale Höhe von 67,5 cm</v>
      </c>
      <c r="C149"/>
      <c r="D149"/>
      <c r="E149" s="1"/>
      <c r="F149" s="1"/>
      <c r="G149" s="27"/>
      <c r="H149" s="27"/>
      <c r="I149" s="27"/>
      <c r="J149" s="27"/>
      <c r="K149" s="27"/>
    </row>
    <row r="150" spans="1:11">
      <c r="A150" s="27"/>
      <c r="B150" t="str">
        <f>"Die Spiegeloberkante muss sich auf einer Höhe von "&amp;C144&amp;" cm befinden."</f>
        <v>Die Spiegeloberkante muss sich auf einer Höhe von 188 cm befinden.</v>
      </c>
      <c r="C150"/>
      <c r="D150"/>
      <c r="E150" s="1"/>
      <c r="F150" s="1"/>
      <c r="G150" s="27"/>
      <c r="H150" s="27"/>
      <c r="I150" s="27"/>
      <c r="J150" s="27"/>
      <c r="K150" s="27"/>
    </row>
    <row r="151" spans="1:11">
      <c r="A151" s="27"/>
      <c r="B151" s="27"/>
      <c r="C151" s="27"/>
      <c r="D151" s="27"/>
      <c r="E151" s="27"/>
      <c r="F151" s="27"/>
      <c r="G151" s="27"/>
      <c r="H151" s="27"/>
      <c r="I151" s="27"/>
      <c r="J151" s="27"/>
      <c r="K151" s="27"/>
    </row>
    <row r="152" spans="1:11">
      <c r="A152" s="27"/>
      <c r="B152" s="27"/>
      <c r="C152" s="27"/>
      <c r="D152" s="27"/>
      <c r="E152" s="27"/>
      <c r="F152" s="27"/>
      <c r="G152" s="27"/>
      <c r="H152" s="27"/>
      <c r="I152" s="27"/>
      <c r="J152" s="27"/>
      <c r="K152" s="27"/>
    </row>
    <row r="153" spans="1:11">
      <c r="A153" s="27"/>
      <c r="B153" s="27"/>
      <c r="C153" s="27"/>
      <c r="D153" s="27"/>
      <c r="E153" s="27"/>
      <c r="F153" s="27"/>
      <c r="G153" s="27"/>
      <c r="H153" s="27"/>
      <c r="I153" s="27"/>
      <c r="J153" s="27"/>
      <c r="K153" s="27"/>
    </row>
    <row r="154" spans="1:11">
      <c r="A154" s="27"/>
      <c r="B154" s="27"/>
      <c r="C154" s="27"/>
      <c r="D154" s="27"/>
      <c r="E154" s="27"/>
      <c r="F154" s="27"/>
      <c r="G154" s="27"/>
      <c r="H154" s="27"/>
      <c r="I154" s="27"/>
      <c r="J154" s="27"/>
      <c r="K154" s="27"/>
    </row>
    <row r="155" spans="1:11">
      <c r="A155" s="27"/>
      <c r="B155" s="27"/>
      <c r="C155" s="27"/>
      <c r="D155" s="27"/>
      <c r="E155" s="27"/>
      <c r="F155" s="27"/>
      <c r="G155" s="27"/>
      <c r="H155" s="27"/>
      <c r="I155" s="27"/>
      <c r="J155" s="27"/>
      <c r="K155" s="27"/>
    </row>
    <row r="156" spans="1:11">
      <c r="A156" s="27"/>
      <c r="B156" s="27"/>
      <c r="C156" s="27"/>
      <c r="D156" s="27"/>
      <c r="E156" s="27"/>
      <c r="F156" s="27"/>
      <c r="G156" s="27"/>
      <c r="H156" s="27"/>
      <c r="I156" s="27"/>
      <c r="J156" s="27"/>
      <c r="K156" s="27"/>
    </row>
    <row r="157" spans="1:11">
      <c r="A157" s="27"/>
      <c r="B157"/>
      <c r="C157"/>
      <c r="D157"/>
      <c r="E157" s="24"/>
      <c r="F157" s="24"/>
      <c r="G157" s="24"/>
      <c r="H157" s="24"/>
      <c r="I157" s="24"/>
      <c r="J157" s="27"/>
      <c r="K157" s="27"/>
    </row>
    <row r="158" spans="1:11" ht="15">
      <c r="A158" s="27"/>
      <c r="B158" s="370" t="s">
        <v>950</v>
      </c>
      <c r="C158"/>
      <c r="D158"/>
      <c r="E158" s="24"/>
      <c r="F158" s="24"/>
      <c r="G158" s="24"/>
      <c r="H158" s="24"/>
      <c r="I158" s="24"/>
      <c r="J158" s="27"/>
      <c r="K158" s="27"/>
    </row>
    <row r="159" spans="1:11" ht="15">
      <c r="A159" s="27"/>
      <c r="B159" s="370" t="s">
        <v>951</v>
      </c>
      <c r="C159"/>
      <c r="D159"/>
      <c r="E159" s="24"/>
      <c r="F159" s="24"/>
      <c r="G159" s="24"/>
      <c r="H159" s="24"/>
      <c r="I159" s="24"/>
      <c r="J159" s="27"/>
      <c r="K159" s="27"/>
    </row>
    <row r="160" spans="1:11" ht="15">
      <c r="A160" s="27"/>
      <c r="B160" s="370" t="s">
        <v>952</v>
      </c>
      <c r="C160"/>
      <c r="D160"/>
      <c r="E160" s="24"/>
      <c r="F160" s="24"/>
      <c r="G160" s="24"/>
      <c r="H160" s="24"/>
      <c r="I160" s="24"/>
      <c r="J160" s="27"/>
      <c r="K160" s="27"/>
    </row>
    <row r="161" spans="1:11">
      <c r="A161" s="27"/>
      <c r="B161"/>
      <c r="C161"/>
      <c r="D161"/>
      <c r="E161" s="24"/>
      <c r="F161" s="24"/>
      <c r="G161" s="24"/>
      <c r="H161" s="24"/>
      <c r="I161" s="24"/>
      <c r="J161" s="27"/>
      <c r="K161" s="27"/>
    </row>
    <row r="162" spans="1:11">
      <c r="A162" s="27"/>
      <c r="B162" s="326"/>
      <c r="C162" t="s">
        <v>953</v>
      </c>
      <c r="D162"/>
      <c r="E162" s="24"/>
      <c r="F162" s="24"/>
      <c r="G162" s="24"/>
      <c r="H162" s="24"/>
      <c r="I162" s="24"/>
      <c r="J162" s="27"/>
      <c r="K162" s="27"/>
    </row>
    <row r="163" spans="1:11">
      <c r="A163" s="27"/>
      <c r="B163"/>
      <c r="C163"/>
      <c r="D163"/>
      <c r="E163" s="24"/>
      <c r="F163" s="24"/>
      <c r="G163" s="24"/>
      <c r="H163" s="24"/>
      <c r="I163" s="24"/>
      <c r="J163" s="27"/>
      <c r="K163" s="27"/>
    </row>
    <row r="164" spans="1:11">
      <c r="A164" s="27"/>
      <c r="B164"/>
      <c r="C164"/>
      <c r="D164"/>
      <c r="E164" s="24"/>
      <c r="F164" s="24"/>
      <c r="G164" s="24"/>
      <c r="H164" s="24"/>
      <c r="I164" s="24"/>
      <c r="J164" s="27"/>
      <c r="K164" s="27"/>
    </row>
    <row r="165" spans="1:11">
      <c r="A165" s="27"/>
      <c r="B165" s="56" t="s">
        <v>954</v>
      </c>
      <c r="C165" s="371">
        <v>176</v>
      </c>
      <c r="D165" s="372" t="s">
        <v>212</v>
      </c>
      <c r="E165" s="375"/>
      <c r="F165" s="24"/>
      <c r="G165" s="24"/>
      <c r="H165" s="24"/>
      <c r="I165" s="24"/>
      <c r="J165" s="27"/>
      <c r="K165" s="27"/>
    </row>
    <row r="166" spans="1:11">
      <c r="A166" s="27"/>
      <c r="B166" s="56" t="s">
        <v>917</v>
      </c>
      <c r="C166" s="326">
        <v>160</v>
      </c>
      <c r="D166" t="s">
        <v>212</v>
      </c>
      <c r="E166" s="24"/>
      <c r="F166" s="24"/>
      <c r="G166" s="24"/>
      <c r="H166" s="24"/>
      <c r="I166" s="24"/>
      <c r="J166" s="27"/>
      <c r="K166" s="27"/>
    </row>
    <row r="167" spans="1:11">
      <c r="A167" s="27"/>
      <c r="B167" s="56" t="s">
        <v>918</v>
      </c>
      <c r="C167">
        <f>C166+(C165-C166)/2</f>
        <v>168</v>
      </c>
      <c r="D167" t="s">
        <v>212</v>
      </c>
      <c r="E167" s="24" t="s">
        <v>955</v>
      </c>
      <c r="F167" s="24"/>
      <c r="G167" s="24"/>
      <c r="H167" s="24"/>
      <c r="I167" s="24"/>
      <c r="J167" s="27"/>
      <c r="K167" s="27"/>
    </row>
    <row r="168" spans="1:11">
      <c r="A168" s="27"/>
      <c r="B168" s="56" t="s">
        <v>919</v>
      </c>
      <c r="C168">
        <f>C166/2</f>
        <v>80</v>
      </c>
      <c r="D168" t="s">
        <v>212</v>
      </c>
      <c r="E168" s="24" t="s">
        <v>956</v>
      </c>
      <c r="F168" s="24"/>
      <c r="G168" s="24"/>
      <c r="H168" s="24"/>
      <c r="I168" s="24"/>
      <c r="J168" s="27"/>
      <c r="K168" s="27"/>
    </row>
    <row r="169" spans="1:11">
      <c r="A169" s="27"/>
      <c r="B169" s="56" t="s">
        <v>909</v>
      </c>
      <c r="C169">
        <f>C167-C168</f>
        <v>88</v>
      </c>
      <c r="D169" t="s">
        <v>212</v>
      </c>
      <c r="E169" s="24"/>
      <c r="F169" s="24"/>
      <c r="G169" s="24"/>
      <c r="H169" s="24"/>
      <c r="I169" s="24"/>
      <c r="J169" s="27"/>
      <c r="K169" s="27"/>
    </row>
    <row r="170" spans="1:11">
      <c r="A170" s="27"/>
      <c r="B170"/>
      <c r="C170"/>
      <c r="D170"/>
      <c r="E170" s="24"/>
      <c r="F170" s="24"/>
      <c r="G170" s="24"/>
      <c r="H170" s="24"/>
      <c r="I170" s="24"/>
      <c r="J170" s="27"/>
      <c r="K170" s="27"/>
    </row>
    <row r="171" spans="1:11">
      <c r="A171" s="27"/>
      <c r="B171" s="369" t="s">
        <v>957</v>
      </c>
      <c r="C171"/>
      <c r="D171"/>
      <c r="E171" s="24"/>
      <c r="F171" s="24"/>
      <c r="G171" s="24"/>
      <c r="H171" s="24"/>
      <c r="I171" s="24"/>
      <c r="J171" s="27"/>
      <c r="K171" s="27"/>
    </row>
    <row r="172" spans="1:11">
      <c r="A172" s="27"/>
      <c r="B172" s="369" t="s">
        <v>958</v>
      </c>
      <c r="C172"/>
      <c r="D172"/>
      <c r="E172" s="24"/>
      <c r="F172" s="24"/>
      <c r="G172" s="24"/>
      <c r="H172" s="24"/>
      <c r="I172" s="24"/>
      <c r="J172" s="27"/>
      <c r="K172" s="27"/>
    </row>
    <row r="173" spans="1:11">
      <c r="A173" s="27"/>
      <c r="B173" s="369" t="s">
        <v>959</v>
      </c>
      <c r="C173"/>
      <c r="D173"/>
      <c r="E173" s="24"/>
      <c r="F173" s="24"/>
      <c r="G173" s="24"/>
      <c r="H173" s="24"/>
      <c r="I173" s="24"/>
      <c r="J173" s="27"/>
      <c r="K173" s="27"/>
    </row>
    <row r="174" spans="1:11">
      <c r="A174" s="27"/>
      <c r="B174" s="369"/>
      <c r="C174"/>
      <c r="D174"/>
      <c r="E174" s="24"/>
      <c r="F174" s="24"/>
      <c r="G174" s="24"/>
      <c r="H174" s="24"/>
      <c r="I174" s="24"/>
      <c r="J174" s="27"/>
      <c r="K174" s="27"/>
    </row>
    <row r="175" spans="1:11">
      <c r="A175" s="27"/>
      <c r="B175" s="369"/>
      <c r="C175"/>
      <c r="D175"/>
      <c r="E175" s="24"/>
      <c r="F175" s="24"/>
      <c r="G175" s="24"/>
      <c r="H175" s="24"/>
      <c r="I175" s="24"/>
      <c r="J175" s="27"/>
      <c r="K175" s="27"/>
    </row>
    <row r="176" spans="1:11">
      <c r="A176" s="27"/>
      <c r="B176" s="27"/>
      <c r="C176" s="27"/>
      <c r="D176" s="27"/>
      <c r="E176" s="27"/>
      <c r="F176" s="27"/>
      <c r="G176" s="27"/>
      <c r="H176" s="24"/>
      <c r="I176" s="24"/>
      <c r="J176" s="27"/>
      <c r="K176" s="27"/>
    </row>
    <row r="177" spans="1:11">
      <c r="A177" s="27"/>
      <c r="B177" s="27"/>
      <c r="C177" s="27"/>
      <c r="D177" s="27"/>
      <c r="E177" s="27"/>
      <c r="F177" s="27"/>
      <c r="G177" s="27"/>
      <c r="H177" s="24"/>
      <c r="I177" s="24"/>
      <c r="J177" s="27"/>
      <c r="K177" s="27"/>
    </row>
    <row r="178" spans="1:11" ht="15">
      <c r="A178" s="27"/>
      <c r="B178" s="370" t="s">
        <v>960</v>
      </c>
      <c r="C178"/>
      <c r="D178"/>
      <c r="E178" s="24"/>
      <c r="F178" s="24"/>
      <c r="G178" s="24"/>
      <c r="H178" s="24"/>
      <c r="I178" s="24"/>
      <c r="J178" s="27"/>
      <c r="K178" s="27"/>
    </row>
    <row r="179" spans="1:11" ht="15">
      <c r="A179" s="27"/>
      <c r="B179" s="370" t="s">
        <v>961</v>
      </c>
      <c r="C179"/>
      <c r="D179"/>
      <c r="E179" s="24"/>
      <c r="F179" s="24"/>
      <c r="G179" s="24"/>
      <c r="H179" s="24"/>
      <c r="I179" s="24"/>
      <c r="J179" s="27"/>
      <c r="K179" s="27"/>
    </row>
    <row r="180" spans="1:11" ht="15">
      <c r="A180" s="27"/>
      <c r="B180" s="370" t="s">
        <v>962</v>
      </c>
      <c r="C180"/>
      <c r="D180"/>
      <c r="E180" s="24"/>
      <c r="F180" s="24"/>
      <c r="G180" s="24"/>
      <c r="H180" s="24"/>
      <c r="I180" s="24"/>
      <c r="J180" s="27"/>
      <c r="K180" s="27"/>
    </row>
    <row r="181" spans="1:11">
      <c r="A181" s="27"/>
      <c r="B181" s="56"/>
      <c r="C181"/>
      <c r="D181"/>
      <c r="E181" s="24"/>
      <c r="F181" s="24"/>
      <c r="G181" s="24"/>
      <c r="H181" s="24"/>
      <c r="I181" s="24"/>
      <c r="J181" s="27"/>
      <c r="K181" s="27"/>
    </row>
    <row r="182" spans="1:11">
      <c r="A182" s="27"/>
      <c r="B182" s="56"/>
      <c r="C182" s="56"/>
      <c r="D182" s="56"/>
      <c r="E182" s="375"/>
      <c r="F182" s="24"/>
      <c r="G182" s="24"/>
      <c r="H182" s="24"/>
      <c r="I182" s="24"/>
      <c r="J182" s="27"/>
      <c r="K182" s="27"/>
    </row>
    <row r="183" spans="1:11">
      <c r="A183" s="27"/>
      <c r="B183" s="56" t="s">
        <v>917</v>
      </c>
      <c r="C183" s="326">
        <v>179</v>
      </c>
      <c r="D183" t="s">
        <v>212</v>
      </c>
      <c r="E183" s="24"/>
      <c r="F183" s="24"/>
      <c r="G183" s="24"/>
      <c r="H183" s="24"/>
      <c r="I183" s="24"/>
      <c r="J183" s="27"/>
      <c r="K183" s="27"/>
    </row>
    <row r="184" spans="1:11">
      <c r="A184" s="27"/>
      <c r="B184" s="56" t="s">
        <v>963</v>
      </c>
      <c r="C184" s="326">
        <v>194</v>
      </c>
      <c r="D184" t="s">
        <v>212</v>
      </c>
      <c r="E184" s="24"/>
      <c r="F184" s="24"/>
      <c r="G184" s="24"/>
      <c r="H184" s="24"/>
      <c r="I184" s="24"/>
      <c r="J184" s="27"/>
      <c r="K184" s="27"/>
    </row>
    <row r="185" spans="1:11">
      <c r="A185" s="27"/>
      <c r="B185" s="56" t="s">
        <v>964</v>
      </c>
      <c r="C185" s="326">
        <v>60</v>
      </c>
      <c r="D185" t="s">
        <v>212</v>
      </c>
      <c r="E185" s="24"/>
      <c r="F185" s="24"/>
      <c r="G185" s="24"/>
      <c r="H185" s="24"/>
      <c r="I185" s="24"/>
      <c r="J185" s="27"/>
      <c r="K185" s="27"/>
    </row>
    <row r="186" spans="1:11">
      <c r="A186" s="27"/>
      <c r="B186"/>
      <c r="C186"/>
      <c r="D186"/>
      <c r="E186" s="24"/>
      <c r="F186" s="24"/>
      <c r="G186" s="24"/>
      <c r="H186" s="24"/>
      <c r="I186" s="24"/>
      <c r="J186" s="27"/>
      <c r="K186" s="27"/>
    </row>
    <row r="187" spans="1:11">
      <c r="A187" s="27"/>
      <c r="B187" s="56" t="s">
        <v>918</v>
      </c>
      <c r="C187">
        <f>C183+(C184-C183)/2</f>
        <v>186.5</v>
      </c>
      <c r="D187" t="s">
        <v>212</v>
      </c>
      <c r="E187" s="24" t="s">
        <v>965</v>
      </c>
      <c r="F187" s="24"/>
      <c r="G187" s="24"/>
      <c r="H187" s="24"/>
      <c r="I187" s="24"/>
      <c r="J187" s="27"/>
      <c r="K187" s="27"/>
    </row>
    <row r="188" spans="1:11">
      <c r="A188" s="27"/>
      <c r="B188" s="56" t="s">
        <v>919</v>
      </c>
      <c r="C188">
        <f>C183-(C183-C185)/2</f>
        <v>119.5</v>
      </c>
      <c r="D188" t="s">
        <v>212</v>
      </c>
      <c r="E188" s="24" t="s">
        <v>966</v>
      </c>
      <c r="F188" s="24"/>
      <c r="G188" s="24"/>
      <c r="H188" s="24"/>
      <c r="I188" s="24"/>
      <c r="J188" s="27"/>
      <c r="K188" s="27"/>
    </row>
    <row r="189" spans="1:11">
      <c r="A189" s="27"/>
      <c r="B189" s="56" t="s">
        <v>909</v>
      </c>
      <c r="C189" s="118">
        <f>C187-C188</f>
        <v>67</v>
      </c>
      <c r="D189" t="s">
        <v>212</v>
      </c>
      <c r="E189" s="24"/>
      <c r="F189" s="24"/>
      <c r="G189" s="24"/>
      <c r="H189" s="24"/>
      <c r="I189" s="24"/>
      <c r="J189" s="27"/>
      <c r="K189" s="27"/>
    </row>
    <row r="190" spans="1:11">
      <c r="A190" s="27"/>
      <c r="B190" s="27"/>
      <c r="C190" s="27"/>
      <c r="D190" s="27"/>
      <c r="E190" s="27"/>
      <c r="F190" s="27"/>
      <c r="G190" s="24"/>
      <c r="H190" s="24"/>
      <c r="I190" s="24"/>
      <c r="J190" s="27"/>
      <c r="K190" s="27"/>
    </row>
    <row r="191" spans="1:11">
      <c r="A191" s="27"/>
      <c r="B191"/>
      <c r="C191" t="str">
        <f>"Der Spiegel ist " &amp; C189 &amp; " cm hoch."</f>
        <v>Der Spiegel ist 67 cm hoch.</v>
      </c>
      <c r="D191"/>
      <c r="E191" s="24"/>
      <c r="F191" s="24"/>
      <c r="G191" s="24"/>
      <c r="H191" s="24"/>
      <c r="I191" s="24"/>
      <c r="J191" s="27"/>
      <c r="K191" s="27"/>
    </row>
    <row r="192" spans="1:11">
      <c r="A192" s="27"/>
      <c r="B192" s="27"/>
      <c r="C192" s="27"/>
      <c r="D192" s="27"/>
      <c r="E192" s="27"/>
      <c r="F192" s="27"/>
      <c r="G192" s="27"/>
      <c r="H192" s="27"/>
      <c r="I192" s="27"/>
      <c r="J192" s="27"/>
      <c r="K192" s="27"/>
    </row>
    <row r="193" spans="1:11">
      <c r="A193" s="27"/>
      <c r="B193" s="27"/>
      <c r="C193" s="27"/>
      <c r="D193" s="27"/>
      <c r="E193" s="27"/>
      <c r="F193" s="27"/>
      <c r="G193" s="27"/>
      <c r="H193" s="27"/>
      <c r="I193" s="27"/>
      <c r="J193" s="27"/>
      <c r="K193" s="27"/>
    </row>
    <row r="194" spans="1:11">
      <c r="A194" s="27"/>
      <c r="B194" s="27"/>
      <c r="C194" s="27"/>
      <c r="D194" s="27"/>
      <c r="E194" s="27"/>
      <c r="F194" s="27"/>
      <c r="G194" s="27"/>
      <c r="H194" s="27"/>
      <c r="I194" s="27"/>
      <c r="J194" s="27"/>
      <c r="K194" s="27"/>
    </row>
    <row r="195" spans="1:11">
      <c r="A195" s="27"/>
      <c r="B195" s="27"/>
      <c r="C195" s="27"/>
      <c r="D195" s="27"/>
      <c r="E195" s="27"/>
      <c r="F195" s="27"/>
      <c r="G195" s="27"/>
      <c r="H195" s="27"/>
      <c r="I195" s="27"/>
      <c r="J195" s="27"/>
      <c r="K195" s="27"/>
    </row>
    <row r="196" spans="1:11">
      <c r="A196" s="27"/>
      <c r="B196" s="27"/>
      <c r="C196" s="27"/>
      <c r="D196" s="27"/>
      <c r="E196" s="27"/>
      <c r="F196" s="27"/>
      <c r="G196" s="27"/>
      <c r="H196" s="27"/>
      <c r="I196" s="27"/>
      <c r="J196" s="27"/>
      <c r="K196" s="27"/>
    </row>
    <row r="197" spans="1:11">
      <c r="A197" s="27"/>
      <c r="B197" s="27"/>
      <c r="C197" s="27"/>
      <c r="D197" s="27"/>
      <c r="E197" s="27"/>
      <c r="F197" s="27"/>
      <c r="G197" s="27"/>
      <c r="H197" s="27"/>
      <c r="I197" s="27"/>
      <c r="J197" s="27"/>
      <c r="K197" s="27"/>
    </row>
    <row r="198" spans="1:11">
      <c r="A198" s="27"/>
      <c r="B198" s="27"/>
      <c r="C198" s="27"/>
      <c r="D198" s="27"/>
      <c r="E198" s="27"/>
      <c r="F198" s="27"/>
      <c r="G198" s="27"/>
      <c r="H198" s="27"/>
      <c r="I198" s="27"/>
      <c r="J198" s="27"/>
      <c r="K198" s="27"/>
    </row>
    <row r="199" spans="1:11">
      <c r="A199" s="27"/>
      <c r="B199" s="27"/>
      <c r="C199" s="27"/>
      <c r="D199" s="27"/>
      <c r="E199" s="27"/>
      <c r="F199" s="27"/>
      <c r="G199" s="27"/>
      <c r="H199" s="27"/>
      <c r="I199" s="27"/>
      <c r="J199" s="27"/>
      <c r="K199" s="27"/>
    </row>
    <row r="200" spans="1:11">
      <c r="A200" s="27"/>
      <c r="B200" s="27"/>
      <c r="C200" s="27"/>
      <c r="D200" s="27"/>
      <c r="E200" s="27"/>
      <c r="F200" s="27"/>
      <c r="G200" s="27"/>
      <c r="H200" s="27"/>
      <c r="I200" s="27"/>
      <c r="J200" s="27"/>
      <c r="K200" s="27"/>
    </row>
    <row r="201" spans="1:11">
      <c r="A201" s="27"/>
      <c r="B201" s="27"/>
      <c r="C201" s="27"/>
      <c r="D201" s="27"/>
      <c r="E201" s="27"/>
      <c r="F201" s="27"/>
      <c r="G201" s="27"/>
      <c r="H201" s="27"/>
      <c r="I201" s="27"/>
      <c r="J201" s="27"/>
      <c r="K201" s="27"/>
    </row>
    <row r="202" spans="1:11">
      <c r="A202" s="27"/>
      <c r="B202" s="27"/>
      <c r="C202" s="27"/>
      <c r="D202" s="27"/>
      <c r="E202" s="27"/>
      <c r="F202" s="27"/>
      <c r="G202" s="27"/>
      <c r="H202" s="27"/>
      <c r="I202" s="27"/>
      <c r="J202" s="27"/>
      <c r="K202" s="27"/>
    </row>
    <row r="203" spans="1:11">
      <c r="A203" s="27"/>
      <c r="B203" s="27"/>
      <c r="C203" s="27"/>
      <c r="D203" s="27"/>
      <c r="E203" s="27"/>
      <c r="F203" s="27"/>
      <c r="G203" s="27"/>
      <c r="H203" s="27"/>
      <c r="I203" s="27"/>
      <c r="J203" s="27"/>
      <c r="K203" s="27"/>
    </row>
    <row r="204" spans="1:11">
      <c r="A204" s="27"/>
      <c r="B204" s="27"/>
      <c r="C204" s="27"/>
      <c r="D204" s="27"/>
      <c r="E204" s="27"/>
      <c r="F204" s="27"/>
      <c r="G204" s="27"/>
      <c r="H204" s="27"/>
      <c r="I204" s="27"/>
      <c r="J204" s="27"/>
      <c r="K204" s="27"/>
    </row>
    <row r="205" spans="1:11">
      <c r="A205" s="27"/>
      <c r="B205" s="27"/>
      <c r="C205" s="27"/>
      <c r="D205" s="27"/>
      <c r="E205" s="27"/>
      <c r="F205" s="27"/>
      <c r="G205" s="27"/>
      <c r="H205" s="27"/>
      <c r="I205" s="27"/>
      <c r="J205" s="27"/>
      <c r="K205" s="27"/>
    </row>
    <row r="206" spans="1:11">
      <c r="A206" s="27"/>
      <c r="B206" s="27"/>
      <c r="C206" s="27"/>
      <c r="D206" s="27"/>
      <c r="E206" s="27"/>
      <c r="F206" s="27"/>
      <c r="G206" s="27"/>
      <c r="H206" s="27"/>
      <c r="I206" s="27"/>
      <c r="J206" s="27"/>
      <c r="K206" s="27"/>
    </row>
    <row r="207" spans="1:11">
      <c r="A207" s="27"/>
      <c r="B207" s="1"/>
      <c r="C207" s="1"/>
      <c r="D207" s="1"/>
      <c r="E207" s="1"/>
      <c r="F207" s="1"/>
      <c r="G207" s="1"/>
      <c r="H207" s="1"/>
      <c r="I207" s="1"/>
      <c r="J207" s="27"/>
      <c r="K207" s="27"/>
    </row>
    <row r="208" spans="1:11">
      <c r="A208" s="27"/>
      <c r="B208" s="1" t="s">
        <v>967</v>
      </c>
      <c r="C208" s="1"/>
      <c r="D208" s="373"/>
      <c r="E208" s="1"/>
      <c r="F208" s="1"/>
      <c r="G208" s="1"/>
      <c r="H208" s="1"/>
      <c r="I208" s="1"/>
      <c r="J208" s="27"/>
      <c r="K208" s="27"/>
    </row>
    <row r="209" spans="1:11">
      <c r="A209" s="27"/>
      <c r="B209" s="1" t="s">
        <v>968</v>
      </c>
      <c r="C209" s="1"/>
      <c r="D209" s="1"/>
      <c r="E209" s="1"/>
      <c r="F209" s="1"/>
      <c r="G209" s="1"/>
      <c r="H209" s="1"/>
      <c r="I209" s="1"/>
      <c r="J209" s="27"/>
      <c r="K209" s="27"/>
    </row>
    <row r="210" spans="1:11">
      <c r="A210" s="27"/>
      <c r="B210" s="1" t="s">
        <v>969</v>
      </c>
      <c r="C210" s="1"/>
      <c r="D210" s="1"/>
      <c r="E210" s="1"/>
      <c r="F210" s="1"/>
      <c r="G210" s="1"/>
      <c r="H210" s="1"/>
      <c r="I210" s="1"/>
      <c r="J210" s="27"/>
      <c r="K210" s="27"/>
    </row>
    <row r="211" spans="1:11">
      <c r="A211" s="27"/>
      <c r="B211" s="1"/>
      <c r="C211" s="1"/>
      <c r="D211" s="1"/>
      <c r="E211" s="1"/>
      <c r="F211" s="1"/>
      <c r="G211" s="1"/>
      <c r="H211" s="1"/>
      <c r="I211" s="1"/>
      <c r="J211" s="27"/>
      <c r="K211" s="27"/>
    </row>
    <row r="212" spans="1:11">
      <c r="A212" s="27"/>
      <c r="B212" s="1"/>
      <c r="C212" s="1"/>
      <c r="D212" s="1"/>
      <c r="E212" s="1"/>
      <c r="F212" s="1"/>
      <c r="G212" s="1"/>
      <c r="H212" s="1"/>
      <c r="I212" s="1"/>
      <c r="J212" s="27"/>
      <c r="K212" s="27"/>
    </row>
    <row r="213" spans="1:11">
      <c r="A213" s="27"/>
      <c r="B213" s="1"/>
      <c r="C213" s="1"/>
      <c r="D213" s="1"/>
      <c r="E213" s="1"/>
      <c r="F213" s="1"/>
      <c r="G213" s="1"/>
      <c r="H213" s="1"/>
      <c r="I213" s="1"/>
      <c r="J213" s="27"/>
      <c r="K213" s="27"/>
    </row>
    <row r="214" spans="1:11">
      <c r="A214" s="27"/>
      <c r="B214" s="1"/>
      <c r="C214" s="1"/>
      <c r="D214" s="1"/>
      <c r="E214" s="1"/>
      <c r="F214" s="1"/>
      <c r="G214" s="1"/>
      <c r="H214" s="1"/>
      <c r="I214" s="1"/>
      <c r="J214" s="27"/>
      <c r="K214" s="27"/>
    </row>
    <row r="215" spans="1:11">
      <c r="A215" s="27"/>
      <c r="B215"/>
      <c r="C215"/>
      <c r="D215"/>
      <c r="E215" s="1"/>
      <c r="F215" s="1"/>
      <c r="G215" s="1"/>
      <c r="H215" s="1"/>
      <c r="I215" s="1"/>
      <c r="J215" s="27"/>
      <c r="K215" s="27"/>
    </row>
    <row r="216" spans="1:11">
      <c r="A216" s="27"/>
      <c r="B216" s="56" t="s">
        <v>917</v>
      </c>
      <c r="C216" s="326">
        <v>172</v>
      </c>
      <c r="D216" t="s">
        <v>212</v>
      </c>
      <c r="E216" s="1"/>
      <c r="F216" s="1"/>
      <c r="G216" s="1"/>
      <c r="H216" s="1"/>
      <c r="I216" s="1"/>
      <c r="J216" s="27"/>
      <c r="K216" s="27"/>
    </row>
    <row r="217" spans="1:11">
      <c r="A217" s="27"/>
      <c r="B217" s="56" t="s">
        <v>919</v>
      </c>
      <c r="C217" s="326">
        <v>110</v>
      </c>
      <c r="D217" t="s">
        <v>212</v>
      </c>
      <c r="E217" s="1"/>
      <c r="F217" s="1"/>
      <c r="G217" s="1"/>
      <c r="H217" s="1"/>
      <c r="I217" s="1"/>
      <c r="J217" s="27"/>
      <c r="K217" s="27"/>
    </row>
    <row r="218" spans="1:11">
      <c r="A218" s="27"/>
      <c r="B218" s="56" t="s">
        <v>909</v>
      </c>
      <c r="C218" s="326">
        <v>84</v>
      </c>
      <c r="D218" t="s">
        <v>212</v>
      </c>
      <c r="E218" s="1"/>
      <c r="F218" s="1"/>
      <c r="G218" s="1"/>
      <c r="H218" s="1"/>
      <c r="I218" s="1"/>
      <c r="J218" s="27"/>
      <c r="K218" s="27"/>
    </row>
    <row r="219" spans="1:11">
      <c r="A219" s="27"/>
      <c r="B219" s="56"/>
      <c r="C219"/>
      <c r="D219"/>
      <c r="E219" s="1"/>
      <c r="F219" s="1"/>
      <c r="G219" s="1"/>
      <c r="H219" s="1"/>
      <c r="I219" s="1"/>
      <c r="J219" s="27"/>
      <c r="K219" s="27"/>
    </row>
    <row r="220" spans="1:11">
      <c r="A220" s="27"/>
      <c r="B220" s="56" t="s">
        <v>918</v>
      </c>
      <c r="C220">
        <f>C217+C218</f>
        <v>194</v>
      </c>
      <c r="D220" t="s">
        <v>212</v>
      </c>
      <c r="E220" s="1"/>
      <c r="F220" s="1"/>
      <c r="G220" s="1"/>
      <c r="H220" s="1"/>
      <c r="I220" s="1"/>
      <c r="J220" s="27"/>
      <c r="K220" s="27"/>
    </row>
    <row r="221" spans="1:11">
      <c r="A221" s="27"/>
      <c r="B221" s="56"/>
      <c r="C221"/>
      <c r="D221"/>
      <c r="E221" s="1"/>
      <c r="F221" s="1"/>
      <c r="G221" s="1"/>
      <c r="H221" s="1"/>
      <c r="I221" s="1"/>
      <c r="J221" s="27"/>
      <c r="K221" s="27"/>
    </row>
    <row r="222" spans="1:11">
      <c r="A222" s="27"/>
      <c r="B222" s="56" t="s">
        <v>963</v>
      </c>
      <c r="C222">
        <f>C216+2*(C220-C216)</f>
        <v>216</v>
      </c>
      <c r="D222" t="s">
        <v>212</v>
      </c>
      <c r="E222" s="1"/>
      <c r="F222" s="1"/>
      <c r="G222" s="1"/>
      <c r="H222" s="1"/>
      <c r="I222" s="1"/>
      <c r="J222" s="27"/>
      <c r="K222" s="27"/>
    </row>
    <row r="223" spans="1:11">
      <c r="A223" s="27"/>
      <c r="B223" s="56" t="s">
        <v>964</v>
      </c>
      <c r="C223">
        <f>C216-2*(C216-C217)</f>
        <v>48</v>
      </c>
      <c r="D223" t="s">
        <v>212</v>
      </c>
      <c r="E223" s="1"/>
      <c r="F223" s="1"/>
      <c r="G223" s="1"/>
      <c r="H223" s="1"/>
      <c r="I223" s="1"/>
      <c r="J223" s="27"/>
      <c r="K223" s="27"/>
    </row>
    <row r="224" spans="1:11">
      <c r="A224" s="27"/>
      <c r="B224" s="27"/>
      <c r="C224" s="27"/>
      <c r="D224" s="27"/>
      <c r="E224" s="27"/>
      <c r="F224" s="1"/>
      <c r="G224" s="1"/>
      <c r="H224" s="1"/>
      <c r="I224" s="1"/>
      <c r="J224" s="27"/>
      <c r="K224" s="27"/>
    </row>
    <row r="225" spans="1:11">
      <c r="A225" s="27"/>
      <c r="B225"/>
      <c r="C225" s="369" t="str">
        <f>"Die Person sieht den Höhenbereich von " &amp; C223 &amp; " cm bis " &amp; C222 &amp; " cm."</f>
        <v>Die Person sieht den Höhenbereich von 48 cm bis 216 cm.</v>
      </c>
      <c r="D225"/>
      <c r="E225" s="1"/>
      <c r="F225" s="1"/>
      <c r="G225" s="1"/>
      <c r="H225" s="1"/>
      <c r="I225" s="1"/>
      <c r="J225" s="27"/>
      <c r="K225" s="27"/>
    </row>
    <row r="226" spans="1:11">
      <c r="A226" s="1"/>
      <c r="B226" s="1"/>
      <c r="C226" s="1"/>
      <c r="D226" s="1"/>
      <c r="E226" s="1"/>
      <c r="F226" s="1"/>
      <c r="G226" s="1"/>
      <c r="H226" s="1"/>
      <c r="I226" s="1"/>
      <c r="J226" s="27"/>
      <c r="K226" s="27"/>
    </row>
    <row r="227" spans="1:11">
      <c r="A227" s="1"/>
      <c r="B227" s="1"/>
      <c r="C227" s="1"/>
      <c r="D227" s="1"/>
      <c r="E227" s="1"/>
      <c r="F227" s="1"/>
      <c r="G227" s="1"/>
      <c r="H227" s="1"/>
      <c r="I227" s="1"/>
      <c r="J227" s="27"/>
      <c r="K227" s="27"/>
    </row>
    <row r="228" spans="1:11">
      <c r="A228" s="1"/>
      <c r="B228" s="1"/>
      <c r="C228" s="1"/>
      <c r="D228" s="1"/>
      <c r="E228" s="1"/>
      <c r="F228" s="1"/>
      <c r="G228" s="1"/>
      <c r="H228" s="1"/>
      <c r="I228" s="1"/>
      <c r="J228" s="27"/>
      <c r="K228" s="27"/>
    </row>
    <row r="229" spans="1:11">
      <c r="A229" s="1"/>
      <c r="B229" s="1"/>
      <c r="C229" s="1"/>
      <c r="D229" s="1"/>
      <c r="E229" s="1"/>
      <c r="F229" s="1"/>
      <c r="G229" s="1"/>
      <c r="H229" s="1"/>
      <c r="I229" s="1"/>
      <c r="J229" s="27"/>
      <c r="K229" s="27"/>
    </row>
    <row r="230" spans="1:11">
      <c r="A230" s="1"/>
      <c r="B230" s="1"/>
      <c r="C230" s="1"/>
      <c r="D230" s="1"/>
      <c r="E230" s="1"/>
      <c r="F230" s="1"/>
      <c r="G230" s="1"/>
      <c r="H230" s="1"/>
      <c r="I230" s="1"/>
      <c r="J230" s="27"/>
      <c r="K230" s="27"/>
    </row>
    <row r="231" spans="1:11">
      <c r="A231" s="1"/>
      <c r="B231" s="1"/>
      <c r="C231" s="1"/>
      <c r="D231" s="1"/>
      <c r="E231" s="1"/>
      <c r="F231" s="1"/>
      <c r="G231" s="1"/>
      <c r="H231" s="1"/>
      <c r="I231" s="1"/>
      <c r="J231" s="27"/>
      <c r="K231" s="27"/>
    </row>
    <row r="232" spans="1:11">
      <c r="A232" s="1"/>
      <c r="B232" s="1"/>
      <c r="C232" s="1"/>
      <c r="D232" s="1"/>
      <c r="E232" s="1"/>
      <c r="F232" s="1"/>
      <c r="G232" s="1"/>
      <c r="H232" s="1"/>
      <c r="I232" s="1"/>
      <c r="J232" s="27"/>
      <c r="K232" s="27"/>
    </row>
    <row r="233" spans="1:11">
      <c r="A233" s="1"/>
      <c r="B233" s="1"/>
      <c r="C233" s="1"/>
      <c r="D233" s="1"/>
      <c r="E233" s="1"/>
      <c r="F233" s="1"/>
      <c r="G233" s="1"/>
      <c r="H233" s="1"/>
      <c r="I233" s="1"/>
      <c r="J233" s="27"/>
      <c r="K233" s="27"/>
    </row>
    <row r="234" spans="1:11">
      <c r="A234" s="1"/>
      <c r="B234" s="1"/>
      <c r="C234" s="1"/>
      <c r="D234" s="1"/>
      <c r="E234" s="1"/>
      <c r="F234" s="1"/>
      <c r="G234" s="1"/>
      <c r="H234" s="1"/>
      <c r="I234" s="1"/>
      <c r="J234" s="27"/>
      <c r="K234" s="27"/>
    </row>
    <row r="235" spans="1:11">
      <c r="A235" s="1"/>
      <c r="B235" s="1"/>
      <c r="C235" s="1"/>
      <c r="D235" s="1"/>
      <c r="E235" s="1"/>
      <c r="F235" s="1"/>
      <c r="G235" s="1"/>
      <c r="H235" s="1"/>
      <c r="I235" s="1"/>
      <c r="J235" s="27"/>
      <c r="K235" s="27"/>
    </row>
    <row r="236" spans="1:11">
      <c r="A236" s="1"/>
      <c r="B236" s="1"/>
      <c r="C236" s="1"/>
      <c r="D236" s="1"/>
      <c r="E236" s="1"/>
      <c r="F236" s="1"/>
      <c r="G236" s="1"/>
      <c r="H236" s="1"/>
      <c r="I236" s="1"/>
      <c r="J236" s="27"/>
      <c r="K236" s="27"/>
    </row>
    <row r="237" spans="1:11">
      <c r="A237" s="1"/>
      <c r="B237" s="1"/>
      <c r="C237" s="1"/>
      <c r="D237" s="1"/>
      <c r="E237" s="1"/>
      <c r="F237" s="1"/>
      <c r="G237" s="1"/>
      <c r="H237" s="1"/>
      <c r="I237" s="1"/>
      <c r="J237" s="27"/>
      <c r="K237" s="27"/>
    </row>
    <row r="238" spans="1:11">
      <c r="A238" s="1"/>
      <c r="B238" s="1"/>
      <c r="C238" s="1"/>
      <c r="D238" s="1"/>
      <c r="E238" s="1"/>
      <c r="F238" s="1"/>
      <c r="G238" s="1"/>
      <c r="H238" s="1"/>
      <c r="I238" s="1"/>
      <c r="J238" s="27"/>
      <c r="K238" s="27"/>
    </row>
    <row r="239" spans="1:11">
      <c r="A239" s="1"/>
      <c r="B239" s="1"/>
      <c r="C239" s="1"/>
      <c r="D239" s="1"/>
      <c r="E239" s="1"/>
      <c r="F239" s="1"/>
      <c r="G239" s="1"/>
      <c r="H239" s="1"/>
      <c r="I239" s="1"/>
      <c r="J239" s="27"/>
      <c r="K239" s="27"/>
    </row>
    <row r="240" spans="1:11">
      <c r="A240" s="1"/>
      <c r="B240" s="1"/>
      <c r="C240" s="1"/>
      <c r="D240" s="1"/>
      <c r="E240" s="1"/>
      <c r="F240" s="1"/>
      <c r="G240" s="1"/>
      <c r="H240" s="1"/>
      <c r="I240" s="1"/>
      <c r="J240" s="27"/>
      <c r="K240" s="27"/>
    </row>
    <row r="241" spans="1:11">
      <c r="A241" s="27"/>
      <c r="B241" s="27"/>
      <c r="C241" s="27"/>
      <c r="D241" s="27"/>
      <c r="E241" s="1"/>
      <c r="F241" s="1"/>
      <c r="G241" s="1"/>
      <c r="H241" s="1"/>
      <c r="I241" s="1"/>
      <c r="J241" s="27"/>
      <c r="K241" s="27"/>
    </row>
    <row r="242" spans="1:11">
      <c r="A242" s="27"/>
      <c r="B242" s="27"/>
      <c r="C242" s="27"/>
      <c r="D242" s="27"/>
      <c r="E242" s="1"/>
      <c r="F242" s="1"/>
      <c r="G242" s="1"/>
      <c r="H242" s="1"/>
      <c r="I242" s="1"/>
      <c r="J242" s="27"/>
      <c r="K242" s="27"/>
    </row>
    <row r="243" spans="1:11">
      <c r="A243" s="27"/>
      <c r="B243" s="27"/>
      <c r="C243" s="27"/>
      <c r="D243" s="27"/>
      <c r="E243" s="27"/>
      <c r="F243" s="27"/>
      <c r="G243" s="27"/>
      <c r="H243" s="27"/>
      <c r="I243" s="27"/>
      <c r="J243" s="27"/>
      <c r="K243" s="27"/>
    </row>
    <row r="244" spans="1:11">
      <c r="A244" s="27"/>
      <c r="B244" s="1" t="s">
        <v>970</v>
      </c>
      <c r="C244" s="1"/>
      <c r="D244" s="1"/>
      <c r="E244" s="1"/>
      <c r="F244" s="1"/>
      <c r="G244" s="1"/>
      <c r="H244" s="1"/>
      <c r="I244" s="1"/>
      <c r="J244" s="1"/>
      <c r="K244" s="1"/>
    </row>
    <row r="245" spans="1:11">
      <c r="A245" s="27"/>
      <c r="B245" s="1" t="s">
        <v>971</v>
      </c>
      <c r="C245" s="1"/>
      <c r="D245" s="1"/>
      <c r="E245" s="1"/>
      <c r="F245" s="1"/>
      <c r="G245" s="1"/>
      <c r="H245" s="1"/>
      <c r="I245" s="1"/>
      <c r="J245" s="1"/>
      <c r="K245" s="1"/>
    </row>
    <row r="246" spans="1:11">
      <c r="A246" s="27"/>
      <c r="B246" s="1" t="s">
        <v>972</v>
      </c>
      <c r="C246" s="1"/>
      <c r="D246" s="1"/>
      <c r="E246" s="1"/>
      <c r="F246" s="1"/>
      <c r="G246" s="1"/>
      <c r="H246" s="1"/>
      <c r="I246" s="1"/>
      <c r="J246" s="1"/>
      <c r="K246" s="1"/>
    </row>
    <row r="247" spans="1:11">
      <c r="A247" s="27"/>
      <c r="B247" s="1" t="s">
        <v>973</v>
      </c>
      <c r="C247" s="1"/>
      <c r="D247" s="1"/>
      <c r="E247" s="1"/>
      <c r="F247" s="1"/>
      <c r="G247" s="1"/>
      <c r="H247" s="1"/>
      <c r="I247" s="1"/>
      <c r="J247" s="1"/>
      <c r="K247" s="1"/>
    </row>
    <row r="248" spans="1:11">
      <c r="A248" s="27"/>
      <c r="B248" s="1" t="s">
        <v>974</v>
      </c>
      <c r="C248" s="1"/>
      <c r="D248" s="1"/>
      <c r="E248" s="1"/>
      <c r="F248" s="1"/>
      <c r="G248" s="1"/>
      <c r="H248" s="1"/>
      <c r="I248" s="1"/>
      <c r="J248" s="1"/>
      <c r="K248" s="1"/>
    </row>
    <row r="249" spans="1:11">
      <c r="A249" s="27"/>
      <c r="B249" s="1" t="s">
        <v>975</v>
      </c>
      <c r="C249" s="1"/>
      <c r="D249" s="1"/>
      <c r="E249" s="1"/>
      <c r="F249" s="1"/>
      <c r="G249" s="1"/>
      <c r="H249" s="1"/>
      <c r="I249" s="1"/>
      <c r="J249" s="1"/>
      <c r="K249" s="1"/>
    </row>
    <row r="250" spans="1:11">
      <c r="A250" s="27"/>
      <c r="B250" s="1" t="s">
        <v>976</v>
      </c>
      <c r="C250" s="1"/>
      <c r="D250" s="1"/>
      <c r="E250" s="1"/>
      <c r="F250" s="1"/>
      <c r="G250" s="1"/>
      <c r="H250" s="1"/>
      <c r="I250" s="1"/>
      <c r="J250" s="1"/>
      <c r="K250" s="1"/>
    </row>
    <row r="251" spans="1:11">
      <c r="A251" s="27"/>
      <c r="B251" s="1"/>
      <c r="C251" s="1"/>
      <c r="D251" s="1"/>
      <c r="E251" s="1"/>
      <c r="F251" s="1"/>
      <c r="G251" s="1"/>
      <c r="H251" s="1"/>
      <c r="I251" s="1"/>
      <c r="J251" s="1"/>
      <c r="K251" s="1"/>
    </row>
    <row r="252" spans="1:11">
      <c r="A252" s="27"/>
      <c r="B252" s="376" t="s">
        <v>977</v>
      </c>
      <c r="C252" s="376"/>
      <c r="D252" s="376"/>
      <c r="E252" s="1"/>
      <c r="F252" s="1"/>
      <c r="G252" s="1"/>
      <c r="H252" s="1"/>
      <c r="I252" s="1"/>
      <c r="J252" s="1"/>
      <c r="K252" s="1"/>
    </row>
    <row r="253" spans="1:11">
      <c r="A253" s="27"/>
      <c r="B253" s="1"/>
      <c r="C253" s="1"/>
      <c r="D253" s="1"/>
      <c r="E253" s="1"/>
      <c r="F253" s="1"/>
      <c r="G253" s="1"/>
      <c r="H253" s="1"/>
      <c r="I253" s="1"/>
      <c r="J253" s="1"/>
      <c r="K253" s="1"/>
    </row>
    <row r="254" spans="1:11">
      <c r="A254" s="27"/>
      <c r="B254" s="300" t="s">
        <v>917</v>
      </c>
      <c r="C254" s="326">
        <v>172</v>
      </c>
      <c r="D254" s="374" t="s">
        <v>212</v>
      </c>
      <c r="E254" s="1"/>
      <c r="F254" s="1"/>
      <c r="G254" s="1"/>
      <c r="H254" s="1"/>
      <c r="I254" s="1"/>
      <c r="J254" s="1"/>
      <c r="K254" s="1"/>
    </row>
    <row r="255" spans="1:11">
      <c r="A255" s="27"/>
      <c r="B255" s="300" t="s">
        <v>978</v>
      </c>
      <c r="C255" s="326">
        <v>115</v>
      </c>
      <c r="D255" s="374" t="s">
        <v>212</v>
      </c>
      <c r="E255" s="1"/>
      <c r="F255" s="1"/>
      <c r="G255" s="1"/>
      <c r="H255" s="1"/>
      <c r="I255" s="1"/>
      <c r="J255" s="1"/>
      <c r="K255" s="1"/>
    </row>
    <row r="256" spans="1:11">
      <c r="A256" s="27"/>
      <c r="B256" s="300" t="s">
        <v>979</v>
      </c>
      <c r="C256" s="326">
        <v>50</v>
      </c>
      <c r="D256" s="374" t="s">
        <v>212</v>
      </c>
      <c r="E256" s="1"/>
      <c r="F256" s="1"/>
      <c r="G256" s="1"/>
      <c r="H256" s="1"/>
      <c r="I256" s="1"/>
      <c r="J256" s="1"/>
      <c r="K256" s="1"/>
    </row>
    <row r="257" spans="1:11">
      <c r="A257" s="27"/>
      <c r="B257" s="300"/>
      <c r="C257" s="374"/>
      <c r="D257" s="374"/>
      <c r="E257" s="1"/>
      <c r="F257" s="1"/>
      <c r="G257" s="1"/>
      <c r="H257" s="1"/>
      <c r="I257" s="1"/>
      <c r="J257" s="1"/>
      <c r="K257" s="1"/>
    </row>
    <row r="258" spans="1:11">
      <c r="A258" s="27"/>
      <c r="B258" s="300" t="s">
        <v>980</v>
      </c>
      <c r="C258" s="374">
        <f>(C254-C255)/2+C255</f>
        <v>143.5</v>
      </c>
      <c r="D258" s="374" t="s">
        <v>212</v>
      </c>
      <c r="E258" s="1"/>
      <c r="F258" s="1"/>
      <c r="G258" s="1"/>
      <c r="H258" s="1"/>
      <c r="I258" s="1"/>
      <c r="J258" s="1"/>
      <c r="K258" s="1"/>
    </row>
    <row r="259" spans="1:11">
      <c r="A259" s="27"/>
      <c r="B259" s="300" t="s">
        <v>981</v>
      </c>
      <c r="C259" s="374">
        <f>(C254-C256)/2+C256</f>
        <v>111</v>
      </c>
      <c r="D259" s="374" t="s">
        <v>212</v>
      </c>
      <c r="E259" s="1"/>
      <c r="F259" s="1"/>
      <c r="G259" s="1"/>
      <c r="H259" s="1"/>
      <c r="I259" s="1"/>
      <c r="J259" s="1"/>
      <c r="K259" s="1"/>
    </row>
    <row r="260" spans="1:11">
      <c r="A260" s="27"/>
      <c r="B260" s="300"/>
      <c r="C260" s="374"/>
      <c r="D260" s="374"/>
      <c r="E260" s="1"/>
      <c r="F260" s="1"/>
      <c r="G260" s="1"/>
      <c r="H260" s="1"/>
      <c r="I260" s="1"/>
      <c r="J260" s="1"/>
      <c r="K260" s="1"/>
    </row>
    <row r="261" spans="1:11">
      <c r="A261" s="27"/>
      <c r="B261" s="300" t="s">
        <v>909</v>
      </c>
      <c r="C261" s="374">
        <f>C258-C259</f>
        <v>32.5</v>
      </c>
      <c r="D261" s="374" t="s">
        <v>212</v>
      </c>
      <c r="E261" s="1"/>
      <c r="F261" s="1"/>
      <c r="G261" s="1"/>
      <c r="H261" s="1"/>
      <c r="I261" s="1"/>
      <c r="J261" s="1"/>
      <c r="K261" s="1"/>
    </row>
    <row r="262" spans="1:11">
      <c r="A262" s="27"/>
      <c r="B262" s="1"/>
      <c r="C262" s="1"/>
      <c r="D262" s="1"/>
      <c r="E262" s="1"/>
      <c r="F262" s="1"/>
      <c r="G262" s="1"/>
      <c r="H262" s="1"/>
      <c r="I262" s="1"/>
      <c r="J262" s="1"/>
      <c r="K262" s="1"/>
    </row>
    <row r="263" spans="1:11">
      <c r="A263" s="27"/>
      <c r="B263" s="1"/>
      <c r="C263" s="1"/>
      <c r="D263" s="1"/>
      <c r="E263" s="1"/>
      <c r="F263" s="1"/>
      <c r="G263" s="1"/>
      <c r="H263" s="1"/>
      <c r="I263" s="1"/>
      <c r="J263" s="1"/>
      <c r="K263" s="1"/>
    </row>
    <row r="264" spans="1:11">
      <c r="A264" s="27"/>
      <c r="B264" s="1" t="str">
        <f>"Die Oberkante des Spiegels muss sich auf " &amp; C258 &amp; " cm befinden"</f>
        <v>Die Oberkante des Spiegels muss sich auf 143,5 cm befinden</v>
      </c>
      <c r="C264" s="1"/>
      <c r="D264" s="1"/>
      <c r="E264" s="1"/>
      <c r="F264" s="1"/>
      <c r="G264" s="1"/>
      <c r="H264" s="1"/>
      <c r="I264" s="1"/>
      <c r="J264" s="1"/>
      <c r="K264" s="1"/>
    </row>
    <row r="265" spans="1:11">
      <c r="A265" s="27"/>
      <c r="B265" s="1" t="str">
        <f>"Die Unterkante des Spiegels muss sich auf " &amp; C259 &amp; " cm befinden"</f>
        <v>Die Unterkante des Spiegels muss sich auf 111 cm befinden</v>
      </c>
      <c r="C265" s="1"/>
      <c r="D265" s="1"/>
      <c r="E265" s="1"/>
      <c r="F265" s="1"/>
      <c r="G265" s="1"/>
      <c r="H265" s="1"/>
      <c r="I265" s="1"/>
      <c r="J265" s="1"/>
      <c r="K265" s="1"/>
    </row>
    <row r="266" spans="1:11">
      <c r="A266" s="27"/>
      <c r="B266" s="1" t="str">
        <f>"Die Spiegelhöhe muss " &amp; C261 &amp; " cm sein"</f>
        <v>Die Spiegelhöhe muss 32,5 cm sein</v>
      </c>
      <c r="C266" s="1"/>
      <c r="D266" s="1"/>
      <c r="E266" s="1"/>
      <c r="F266" s="1"/>
      <c r="G266" s="1"/>
      <c r="H266" s="1"/>
      <c r="I266" s="1"/>
      <c r="J266" s="1"/>
      <c r="K266" s="1"/>
    </row>
    <row r="267" spans="1:11">
      <c r="A267" s="27"/>
      <c r="B267" s="1"/>
      <c r="C267" s="1"/>
      <c r="D267" s="1"/>
      <c r="E267" s="1"/>
      <c r="F267" s="1"/>
      <c r="G267" s="1"/>
      <c r="H267" s="1"/>
      <c r="I267" s="1"/>
      <c r="J267" s="1"/>
      <c r="K267" s="1"/>
    </row>
    <row r="268" spans="1:11">
      <c r="A268" s="27"/>
      <c r="B268" s="1"/>
      <c r="C268" s="1"/>
      <c r="D268" s="1"/>
      <c r="E268" s="1"/>
      <c r="F268" s="1"/>
      <c r="G268" s="1"/>
      <c r="H268" s="1"/>
      <c r="I268" s="1"/>
      <c r="J268" s="1"/>
      <c r="K268" s="1"/>
    </row>
    <row r="269" spans="1:11">
      <c r="A269" s="27"/>
      <c r="B269" s="1"/>
      <c r="C269" s="1"/>
      <c r="D269" s="1"/>
      <c r="E269" s="1"/>
      <c r="F269" s="1"/>
      <c r="G269" s="1"/>
      <c r="H269" s="1"/>
      <c r="I269" s="1"/>
      <c r="J269" s="1"/>
      <c r="K269" s="1"/>
    </row>
    <row r="270" spans="1:11">
      <c r="A270" s="27"/>
      <c r="B270" s="1"/>
      <c r="C270" s="1"/>
      <c r="D270" s="1"/>
      <c r="E270" s="1"/>
      <c r="F270" s="1"/>
      <c r="G270" s="1"/>
      <c r="H270" s="1"/>
      <c r="I270" s="1"/>
      <c r="J270" s="1"/>
      <c r="K270" s="1"/>
    </row>
    <row r="271" spans="1:11">
      <c r="A271" s="27"/>
      <c r="B271" s="1" t="s">
        <v>982</v>
      </c>
      <c r="C271" s="1"/>
      <c r="D271" s="1"/>
      <c r="E271" s="1"/>
      <c r="F271" s="1"/>
      <c r="G271" s="1"/>
      <c r="H271" s="1"/>
      <c r="I271" s="1"/>
      <c r="J271" s="1"/>
      <c r="K271" s="1"/>
    </row>
    <row r="272" spans="1:11">
      <c r="A272" s="27"/>
      <c r="B272" s="1" t="s">
        <v>983</v>
      </c>
      <c r="C272" s="1"/>
      <c r="D272" s="1"/>
      <c r="E272" s="1"/>
      <c r="F272" s="1"/>
      <c r="G272" s="1"/>
      <c r="H272" s="1"/>
      <c r="I272" s="1"/>
      <c r="J272" s="1"/>
      <c r="K272" s="1"/>
    </row>
    <row r="273" spans="1:11">
      <c r="A273" s="27"/>
      <c r="B273" s="1" t="s">
        <v>984</v>
      </c>
      <c r="C273" s="1"/>
      <c r="D273" s="1"/>
      <c r="E273" s="1"/>
      <c r="F273" s="1"/>
      <c r="G273" s="1"/>
      <c r="H273" s="1"/>
      <c r="I273" s="1"/>
      <c r="J273" s="1"/>
      <c r="K273" s="1"/>
    </row>
    <row r="274" spans="1:11">
      <c r="A274" s="27"/>
      <c r="B274" s="1" t="s">
        <v>985</v>
      </c>
      <c r="C274" s="1"/>
      <c r="D274" s="1"/>
      <c r="E274" s="1"/>
      <c r="F274" s="1"/>
      <c r="G274" s="1"/>
      <c r="H274" s="1"/>
      <c r="I274" s="1"/>
      <c r="J274" s="1"/>
      <c r="K274" s="1"/>
    </row>
    <row r="275" spans="1:11">
      <c r="A275" s="27"/>
      <c r="B275" s="1"/>
      <c r="C275" s="1"/>
      <c r="D275" s="1"/>
      <c r="E275" s="1"/>
      <c r="F275" s="1"/>
      <c r="G275" s="1"/>
      <c r="H275" s="1"/>
      <c r="I275" s="1"/>
      <c r="J275" s="1"/>
      <c r="K275" s="1"/>
    </row>
    <row r="276" spans="1:11">
      <c r="A276" s="27"/>
      <c r="B276" s="376" t="s">
        <v>977</v>
      </c>
      <c r="C276" s="1"/>
      <c r="D276" s="1"/>
      <c r="E276" s="1"/>
      <c r="F276" s="1"/>
      <c r="G276" s="1"/>
      <c r="H276" s="1"/>
      <c r="I276" s="1"/>
      <c r="J276" s="1"/>
      <c r="K276" s="1"/>
    </row>
    <row r="277" spans="1:11">
      <c r="A277" s="27"/>
      <c r="B277" s="1"/>
      <c r="C277" s="1"/>
      <c r="D277" s="1"/>
      <c r="E277" s="1"/>
      <c r="F277" s="1"/>
      <c r="G277" s="1"/>
      <c r="H277" s="1"/>
      <c r="I277" s="1"/>
      <c r="J277" s="1"/>
      <c r="K277" s="1"/>
    </row>
    <row r="278" spans="1:11">
      <c r="A278" s="27"/>
      <c r="B278" s="60" t="s">
        <v>986</v>
      </c>
      <c r="C278" s="326">
        <v>196</v>
      </c>
      <c r="D278" s="32" t="s">
        <v>212</v>
      </c>
      <c r="E278" s="1"/>
      <c r="F278" s="1"/>
      <c r="G278" s="1"/>
      <c r="H278" s="1"/>
      <c r="I278" s="1"/>
      <c r="J278" s="1"/>
      <c r="K278" s="1"/>
    </row>
    <row r="279" spans="1:11">
      <c r="A279" s="27"/>
      <c r="B279" s="60" t="s">
        <v>987</v>
      </c>
      <c r="C279" s="377">
        <v>0.86</v>
      </c>
      <c r="D279" s="32"/>
      <c r="E279" s="1"/>
      <c r="F279" s="1"/>
      <c r="G279" s="1"/>
      <c r="H279" s="1"/>
      <c r="I279" s="1"/>
      <c r="J279" s="1"/>
      <c r="K279" s="1"/>
    </row>
    <row r="280" spans="1:11">
      <c r="A280" s="27"/>
      <c r="B280" s="316" t="s">
        <v>988</v>
      </c>
      <c r="C280" s="377">
        <v>0.45500000000000002</v>
      </c>
      <c r="D280" s="32"/>
      <c r="E280" s="1"/>
      <c r="F280" s="1"/>
      <c r="G280" s="1"/>
      <c r="H280" s="1"/>
      <c r="I280" s="1"/>
      <c r="J280" s="1"/>
      <c r="K280" s="1"/>
    </row>
    <row r="281" spans="1:11">
      <c r="A281" s="27"/>
      <c r="B281" s="60" t="s">
        <v>989</v>
      </c>
      <c r="C281" s="377">
        <v>0.436</v>
      </c>
      <c r="D281" s="32"/>
      <c r="E281" s="1"/>
      <c r="F281" s="1"/>
      <c r="G281" s="1"/>
      <c r="H281" s="1"/>
      <c r="I281" s="1"/>
      <c r="J281" s="1"/>
      <c r="K281" s="1"/>
    </row>
    <row r="282" spans="1:11">
      <c r="A282" s="27"/>
      <c r="B282" s="60"/>
      <c r="C282" s="32"/>
      <c r="D282" s="32"/>
      <c r="E282" s="1"/>
      <c r="F282" s="1"/>
      <c r="G282" s="1"/>
      <c r="H282" s="1"/>
      <c r="I282" s="1"/>
      <c r="J282" s="1"/>
      <c r="K282" s="1"/>
    </row>
    <row r="283" spans="1:11">
      <c r="A283" s="27"/>
      <c r="B283" s="60" t="s">
        <v>917</v>
      </c>
      <c r="C283" s="216">
        <f>C278*C279</f>
        <v>168.56</v>
      </c>
      <c r="D283" s="32" t="s">
        <v>212</v>
      </c>
      <c r="E283" s="1"/>
      <c r="F283" s="1"/>
      <c r="G283" s="1"/>
      <c r="H283" s="1"/>
      <c r="I283" s="1"/>
      <c r="J283" s="1"/>
      <c r="K283" s="1"/>
    </row>
    <row r="284" spans="1:11">
      <c r="A284" s="27"/>
      <c r="B284" s="60" t="s">
        <v>919</v>
      </c>
      <c r="C284" s="216">
        <f>C278*C280</f>
        <v>89.18</v>
      </c>
      <c r="D284" s="32" t="s">
        <v>212</v>
      </c>
      <c r="E284" s="1"/>
      <c r="F284" s="1"/>
      <c r="G284" s="1"/>
      <c r="H284" s="1"/>
      <c r="I284" s="1"/>
      <c r="J284" s="1"/>
      <c r="K284" s="1"/>
    </row>
    <row r="285" spans="1:11">
      <c r="A285" s="27"/>
      <c r="B285" s="60" t="s">
        <v>909</v>
      </c>
      <c r="C285" s="216">
        <f>C278*C281</f>
        <v>85.456000000000003</v>
      </c>
      <c r="D285" s="32" t="s">
        <v>212</v>
      </c>
      <c r="E285" s="1"/>
      <c r="F285" s="1"/>
      <c r="G285" s="1"/>
      <c r="H285" s="1"/>
      <c r="I285" s="1"/>
      <c r="J285" s="1"/>
      <c r="K285" s="1"/>
    </row>
    <row r="286" spans="1:11">
      <c r="A286" s="27"/>
      <c r="B286" s="60" t="s">
        <v>918</v>
      </c>
      <c r="C286" s="216">
        <f>C284+C285</f>
        <v>174.63600000000002</v>
      </c>
      <c r="D286" s="32" t="s">
        <v>212</v>
      </c>
      <c r="E286" s="1"/>
      <c r="F286" s="1"/>
      <c r="G286" s="1"/>
      <c r="H286" s="1"/>
      <c r="I286" s="1"/>
      <c r="J286" s="1"/>
      <c r="K286" s="1"/>
    </row>
    <row r="287" spans="1:11">
      <c r="A287" s="27"/>
      <c r="B287" s="32"/>
      <c r="C287" s="32"/>
      <c r="D287" s="32"/>
      <c r="E287" s="1"/>
      <c r="F287" s="1"/>
      <c r="G287" s="1"/>
      <c r="H287" s="1"/>
      <c r="I287" s="1"/>
      <c r="J287" s="1"/>
      <c r="K287" s="1"/>
    </row>
    <row r="288" spans="1:11">
      <c r="A288" s="27"/>
      <c r="B288" s="374" t="s">
        <v>979</v>
      </c>
      <c r="C288" s="216">
        <f>$C$49-($C$49-C284)*2</f>
        <v>14.360000000000014</v>
      </c>
      <c r="D288" s="32" t="s">
        <v>212</v>
      </c>
      <c r="E288" s="1"/>
      <c r="F288" s="1"/>
      <c r="G288" s="1"/>
      <c r="H288" s="1"/>
      <c r="I288" s="1"/>
      <c r="J288" s="1"/>
      <c r="K288" s="1"/>
    </row>
    <row r="289" spans="1:11">
      <c r="A289" s="27"/>
      <c r="B289" s="374" t="s">
        <v>978</v>
      </c>
      <c r="C289" s="216">
        <f>$C$49-($C$49-C286)*2</f>
        <v>185.27200000000005</v>
      </c>
      <c r="D289" s="32" t="s">
        <v>212</v>
      </c>
      <c r="E289" s="1"/>
      <c r="F289" s="1"/>
      <c r="G289" s="1"/>
      <c r="H289" s="1"/>
      <c r="I289" s="1"/>
      <c r="J289" s="1"/>
      <c r="K289" s="1"/>
    </row>
    <row r="290" spans="1:11">
      <c r="A290" s="27"/>
      <c r="B290" s="1"/>
      <c r="C290" s="1"/>
      <c r="D290" s="1"/>
      <c r="E290" s="1"/>
      <c r="F290" s="1"/>
      <c r="G290" s="1"/>
      <c r="H290" s="1"/>
      <c r="I290" s="1"/>
      <c r="J290" s="1"/>
      <c r="K290" s="1"/>
    </row>
    <row r="291" spans="1:11">
      <c r="A291" s="27"/>
      <c r="B291" s="1" t="str">
        <f>"Die Oberkante des sichtbaren Bereichs befindet sich auf " &amp; ROUND(C289,2) &amp; " cm."</f>
        <v>Die Oberkante des sichtbaren Bereichs befindet sich auf 185,27 cm.</v>
      </c>
      <c r="C291" s="1"/>
      <c r="D291" s="1"/>
      <c r="E291" s="1"/>
      <c r="F291" s="1"/>
      <c r="G291" s="1"/>
      <c r="H291" s="1"/>
      <c r="I291" s="1"/>
      <c r="J291" s="1"/>
      <c r="K291" s="1"/>
    </row>
    <row r="292" spans="1:11">
      <c r="A292" s="27"/>
      <c r="B292" s="1" t="str">
        <f>"Die Unterkante des sichtbaren Bereichs befindet sich auf " &amp; ROUND(C288,2) &amp; " cm."</f>
        <v>Die Unterkante des sichtbaren Bereichs befindet sich auf 14,36 cm.</v>
      </c>
      <c r="C292" s="1"/>
      <c r="D292" s="1"/>
      <c r="E292" s="1"/>
      <c r="F292" s="1"/>
      <c r="G292" s="1"/>
      <c r="H292" s="1"/>
      <c r="I292" s="1"/>
      <c r="J292" s="1"/>
      <c r="K292" s="1"/>
    </row>
    <row r="293" spans="1:11">
      <c r="A293" s="27"/>
      <c r="B293" s="27"/>
      <c r="C293" s="27"/>
      <c r="D293" s="27"/>
      <c r="E293" s="27"/>
      <c r="F293" s="27"/>
      <c r="G293" s="27"/>
      <c r="H293" s="27"/>
      <c r="I293" s="27"/>
      <c r="J293" s="27"/>
      <c r="K293" s="27"/>
    </row>
    <row r="294" spans="1:11">
      <c r="A294" s="27"/>
      <c r="B294" s="27"/>
      <c r="C294" s="27"/>
      <c r="D294" s="27"/>
      <c r="E294" s="27"/>
      <c r="F294" s="27"/>
      <c r="G294" s="27"/>
      <c r="H294" s="27"/>
      <c r="I294" s="27"/>
      <c r="J294" s="27"/>
      <c r="K294" s="27"/>
    </row>
    <row r="295" spans="1:11">
      <c r="A295" s="27"/>
      <c r="B295" s="27"/>
      <c r="C295" s="27"/>
      <c r="D295" s="27"/>
      <c r="E295" s="27"/>
      <c r="F295" s="27"/>
      <c r="G295" s="27"/>
      <c r="H295" s="27"/>
      <c r="I295" s="27"/>
      <c r="J295" s="27"/>
      <c r="K295" s="27"/>
    </row>
    <row r="296" spans="1:11">
      <c r="A296" s="27"/>
      <c r="B296" s="27"/>
      <c r="C296" s="27"/>
      <c r="D296" s="27"/>
      <c r="E296" s="27"/>
      <c r="F296" s="27"/>
      <c r="G296" s="27"/>
      <c r="H296" s="27"/>
      <c r="I296" s="27"/>
      <c r="J296" s="27"/>
      <c r="K296" s="27"/>
    </row>
    <row r="297" spans="1:11">
      <c r="A297" s="27"/>
      <c r="B297" s="27"/>
      <c r="C297" s="27"/>
      <c r="D297" s="27"/>
      <c r="E297" s="27"/>
      <c r="F297" s="27"/>
      <c r="G297" s="27"/>
      <c r="H297" s="27"/>
      <c r="I297" s="27"/>
      <c r="J297" s="27"/>
      <c r="K297" s="27"/>
    </row>
    <row r="298" spans="1:11">
      <c r="A298" s="27"/>
      <c r="B298" s="27"/>
      <c r="C298" s="27"/>
      <c r="D298" s="27"/>
      <c r="E298" s="27"/>
      <c r="F298" s="27"/>
      <c r="G298" s="27"/>
      <c r="H298" s="27"/>
      <c r="I298" s="27"/>
      <c r="J298" s="27"/>
      <c r="K298" s="27"/>
    </row>
    <row r="299" spans="1:11">
      <c r="A299" s="27"/>
      <c r="B299" s="27"/>
      <c r="C299" s="27"/>
      <c r="D299" s="27"/>
      <c r="E299" s="27"/>
      <c r="F299" s="27"/>
      <c r="G299" s="27"/>
      <c r="H299" s="27"/>
      <c r="I299" s="27"/>
      <c r="J299" s="27"/>
      <c r="K299" s="27"/>
    </row>
    <row r="300" spans="1:11">
      <c r="A300" s="27"/>
      <c r="B300" s="27"/>
      <c r="C300" s="27"/>
      <c r="D300" s="27"/>
      <c r="E300" s="27"/>
      <c r="F300" s="27"/>
      <c r="G300" s="27"/>
      <c r="H300" s="27"/>
      <c r="I300" s="27"/>
      <c r="J300" s="27"/>
      <c r="K300" s="27"/>
    </row>
    <row r="301" spans="1:11">
      <c r="A301" s="27"/>
      <c r="B301" s="27"/>
      <c r="C301" s="27"/>
      <c r="D301" s="27"/>
      <c r="E301" s="27"/>
      <c r="F301" s="27"/>
      <c r="G301" s="27"/>
      <c r="H301" s="27"/>
      <c r="I301" s="27"/>
      <c r="J301" s="27"/>
      <c r="K301" s="27"/>
    </row>
    <row r="302" spans="1:11">
      <c r="A302" s="27"/>
      <c r="B302" s="27"/>
      <c r="C302" s="27"/>
      <c r="D302" s="27"/>
      <c r="E302" s="27"/>
      <c r="F302" s="27"/>
      <c r="G302" s="27"/>
      <c r="H302" s="27"/>
      <c r="I302" s="27"/>
      <c r="J302" s="27"/>
      <c r="K302" s="27"/>
    </row>
    <row r="303" spans="1:11">
      <c r="A303" s="27"/>
      <c r="B303" s="27"/>
      <c r="C303" s="27"/>
      <c r="D303" s="27"/>
      <c r="E303" s="27"/>
      <c r="F303" s="27"/>
      <c r="G303" s="27"/>
      <c r="H303" s="27"/>
      <c r="I303" s="27"/>
      <c r="J303" s="27"/>
      <c r="K303" s="27"/>
    </row>
    <row r="304" spans="1:11">
      <c r="A304" s="27"/>
      <c r="B304" s="27"/>
      <c r="C304" s="27"/>
      <c r="D304" s="27"/>
      <c r="E304" s="27"/>
      <c r="F304" s="27"/>
      <c r="G304" s="27"/>
      <c r="H304" s="27"/>
      <c r="I304" s="27"/>
      <c r="J304" s="27"/>
      <c r="K304" s="27"/>
    </row>
    <row r="305" spans="1:11">
      <c r="A305" s="27"/>
      <c r="B305" s="27"/>
      <c r="C305" s="27"/>
      <c r="D305" s="27"/>
      <c r="E305" s="27"/>
      <c r="F305" s="27"/>
      <c r="G305" s="27"/>
      <c r="H305" s="27"/>
      <c r="I305" s="27"/>
      <c r="J305" s="27"/>
      <c r="K305" s="27"/>
    </row>
    <row r="306" spans="1:11">
      <c r="A306" s="27"/>
      <c r="B306" s="27"/>
      <c r="C306" s="27"/>
      <c r="D306" s="27"/>
      <c r="E306" s="27"/>
      <c r="F306" s="27"/>
      <c r="G306" s="27"/>
      <c r="H306" s="27"/>
      <c r="I306" s="27"/>
      <c r="J306" s="27"/>
      <c r="K306" s="27"/>
    </row>
    <row r="307" spans="1:11">
      <c r="A307" s="27"/>
      <c r="B307" s="27"/>
      <c r="C307" s="27"/>
      <c r="D307" s="27"/>
      <c r="E307" s="27"/>
      <c r="F307" s="27"/>
      <c r="G307" s="27"/>
      <c r="H307" s="27"/>
      <c r="I307" s="27"/>
      <c r="J307" s="27"/>
      <c r="K307" s="27"/>
    </row>
    <row r="308" spans="1:11">
      <c r="A308" s="27"/>
      <c r="B308" s="27"/>
      <c r="C308" s="27"/>
      <c r="D308" s="27"/>
      <c r="E308" s="27"/>
      <c r="F308" s="27"/>
      <c r="G308" s="27"/>
      <c r="H308" s="27"/>
      <c r="I308" s="27"/>
      <c r="J308" s="27"/>
      <c r="K308" s="27"/>
    </row>
    <row r="309" spans="1:11">
      <c r="A309" s="27"/>
      <c r="B309" s="27"/>
      <c r="C309" s="27"/>
      <c r="D309" s="27"/>
      <c r="E309" s="27"/>
      <c r="F309" s="27"/>
      <c r="G309" s="27"/>
      <c r="H309" s="27"/>
      <c r="I309" s="27"/>
      <c r="J309" s="27"/>
      <c r="K309" s="27"/>
    </row>
    <row r="310" spans="1:11">
      <c r="A310" s="27"/>
      <c r="B310" s="27"/>
      <c r="C310" s="27"/>
      <c r="D310" s="27"/>
      <c r="E310" s="27"/>
      <c r="F310" s="27"/>
      <c r="G310" s="27"/>
      <c r="H310" s="27"/>
      <c r="I310" s="27"/>
      <c r="J310" s="27"/>
      <c r="K310" s="27"/>
    </row>
    <row r="311" spans="1:11">
      <c r="A311" s="27"/>
      <c r="B311" s="27"/>
      <c r="C311" s="27"/>
      <c r="D311" s="27"/>
      <c r="E311" s="27"/>
      <c r="F311" s="27"/>
      <c r="G311" s="27"/>
      <c r="H311" s="27"/>
      <c r="I311" s="27"/>
      <c r="J311" s="27"/>
      <c r="K311" s="27"/>
    </row>
    <row r="312" spans="1:11">
      <c r="A312" s="27"/>
      <c r="B312" s="27"/>
      <c r="C312" s="27"/>
      <c r="D312" s="27"/>
      <c r="E312" s="27"/>
      <c r="F312" s="27"/>
      <c r="G312" s="27"/>
      <c r="H312" s="27"/>
      <c r="I312" s="27"/>
      <c r="J312" s="27"/>
      <c r="K312" s="27"/>
    </row>
    <row r="313" spans="1:11">
      <c r="A313" s="27"/>
      <c r="B313" s="27"/>
      <c r="C313" s="27"/>
      <c r="D313" s="27"/>
      <c r="E313" s="27"/>
      <c r="F313" s="27"/>
      <c r="G313" s="27"/>
      <c r="H313" s="27"/>
      <c r="I313" s="27"/>
      <c r="J313" s="27"/>
      <c r="K313" s="27"/>
    </row>
    <row r="314" spans="1:11">
      <c r="A314" s="27"/>
      <c r="B314" s="27"/>
      <c r="C314" s="27"/>
      <c r="D314" s="27"/>
      <c r="E314" s="27"/>
      <c r="F314" s="27"/>
      <c r="G314" s="27"/>
      <c r="H314" s="27"/>
      <c r="I314" s="27"/>
      <c r="J314" s="27"/>
      <c r="K314" s="27"/>
    </row>
    <row r="315" spans="1:11">
      <c r="A315" s="27"/>
      <c r="B315" s="27"/>
      <c r="C315" s="27"/>
      <c r="D315" s="27"/>
      <c r="E315" s="27"/>
      <c r="F315" s="27"/>
      <c r="G315" s="27"/>
      <c r="H315" s="27"/>
      <c r="I315" s="27"/>
      <c r="J315" s="27"/>
      <c r="K315" s="27"/>
    </row>
    <row r="316" spans="1:11">
      <c r="A316" s="27"/>
      <c r="B316" s="27"/>
      <c r="C316" s="27"/>
      <c r="D316" s="27"/>
      <c r="E316" s="27"/>
      <c r="F316" s="27"/>
      <c r="G316" s="27"/>
      <c r="H316" s="27"/>
      <c r="I316" s="27"/>
      <c r="J316" s="27"/>
      <c r="K316" s="27"/>
    </row>
    <row r="317" spans="1:11">
      <c r="A317" s="27"/>
      <c r="B317" s="27"/>
      <c r="C317" s="27"/>
      <c r="D317" s="27"/>
      <c r="E317" s="27"/>
      <c r="F317" s="27"/>
      <c r="G317" s="27"/>
      <c r="H317" s="27"/>
      <c r="I317" s="27"/>
      <c r="J317" s="27"/>
      <c r="K317" s="27"/>
    </row>
    <row r="318" spans="1:11">
      <c r="A318" s="27"/>
      <c r="B318" s="27"/>
      <c r="C318" s="27"/>
      <c r="D318" s="27"/>
      <c r="E318" s="27"/>
      <c r="F318" s="27"/>
      <c r="G318" s="27"/>
      <c r="H318" s="27"/>
      <c r="I318" s="27"/>
      <c r="J318" s="27"/>
      <c r="K318" s="27"/>
    </row>
    <row r="319" spans="1:11">
      <c r="A319" s="27"/>
      <c r="B319" s="27"/>
      <c r="C319" s="27"/>
      <c r="D319" s="27"/>
      <c r="E319" s="27"/>
      <c r="F319" s="27"/>
      <c r="G319" s="27"/>
      <c r="H319" s="27"/>
      <c r="I319" s="27"/>
      <c r="J319" s="27"/>
      <c r="K319" s="27"/>
    </row>
    <row r="320" spans="1:11">
      <c r="A320" s="27"/>
      <c r="B320" s="27"/>
      <c r="C320" s="27"/>
      <c r="D320" s="27"/>
      <c r="E320" s="27"/>
      <c r="F320" s="27"/>
      <c r="G320" s="27"/>
      <c r="H320" s="27"/>
      <c r="I320" s="27"/>
      <c r="J320" s="27"/>
      <c r="K320" s="27"/>
    </row>
    <row r="321" spans="1:11">
      <c r="A321" s="27"/>
      <c r="B321" s="27"/>
      <c r="C321" s="27"/>
      <c r="D321" s="27"/>
      <c r="E321" s="27"/>
      <c r="F321" s="27"/>
      <c r="G321" s="27"/>
      <c r="H321" s="27"/>
      <c r="I321" s="27"/>
      <c r="J321" s="27"/>
      <c r="K321" s="27"/>
    </row>
    <row r="322" spans="1:11">
      <c r="A322" s="27"/>
      <c r="B322" s="27"/>
      <c r="C322" s="27"/>
      <c r="D322" s="27"/>
      <c r="E322" s="27"/>
      <c r="F322" s="27"/>
      <c r="G322" s="27"/>
      <c r="H322" s="27"/>
      <c r="I322" s="27"/>
      <c r="J322" s="27"/>
      <c r="K322" s="27"/>
    </row>
    <row r="323" spans="1:11">
      <c r="A323" s="27"/>
      <c r="B323" s="27"/>
      <c r="C323" s="27"/>
      <c r="D323" s="27"/>
      <c r="E323" s="27"/>
      <c r="F323" s="27"/>
      <c r="G323" s="27"/>
      <c r="H323" s="27"/>
      <c r="I323" s="27"/>
      <c r="J323" s="27"/>
      <c r="K323" s="27"/>
    </row>
    <row r="324" spans="1:11">
      <c r="A324" s="27"/>
      <c r="B324" s="27"/>
      <c r="C324" s="27"/>
      <c r="D324" s="27"/>
      <c r="E324" s="27"/>
      <c r="F324" s="27"/>
      <c r="G324" s="27"/>
      <c r="H324" s="27"/>
      <c r="I324" s="27"/>
      <c r="J324" s="27"/>
      <c r="K324" s="27"/>
    </row>
    <row r="325" spans="1:11">
      <c r="A325" s="27"/>
      <c r="B325" s="27"/>
      <c r="C325" s="27"/>
      <c r="D325" s="27"/>
      <c r="E325" s="27"/>
      <c r="F325" s="27"/>
      <c r="G325" s="27"/>
      <c r="H325" s="27"/>
      <c r="I325" s="27"/>
      <c r="J325" s="27"/>
      <c r="K325" s="27"/>
    </row>
    <row r="326" spans="1:11">
      <c r="A326" s="27"/>
      <c r="B326" s="27"/>
      <c r="C326" s="27"/>
      <c r="D326" s="27"/>
      <c r="E326" s="27"/>
      <c r="F326" s="27"/>
      <c r="G326" s="27"/>
      <c r="H326" s="27"/>
      <c r="I326" s="27"/>
      <c r="J326" s="27"/>
      <c r="K326" s="27"/>
    </row>
    <row r="327" spans="1:11">
      <c r="A327" s="27"/>
      <c r="B327" s="27"/>
      <c r="C327" s="27"/>
      <c r="D327" s="27"/>
      <c r="E327" s="27"/>
      <c r="F327" s="27"/>
      <c r="G327" s="27"/>
      <c r="H327" s="27"/>
      <c r="I327" s="27"/>
      <c r="J327" s="27"/>
      <c r="K327" s="27"/>
    </row>
    <row r="328" spans="1:11">
      <c r="A328" s="27"/>
      <c r="B328" s="27"/>
      <c r="C328" s="27"/>
      <c r="D328" s="27"/>
      <c r="E328" s="27"/>
      <c r="F328" s="27"/>
      <c r="G328" s="27"/>
      <c r="H328" s="27"/>
      <c r="I328" s="27"/>
      <c r="J328" s="27"/>
      <c r="K328" s="27"/>
    </row>
    <row r="329" spans="1:11">
      <c r="A329" s="27"/>
      <c r="B329" s="27"/>
      <c r="C329" s="27"/>
      <c r="D329" s="27"/>
      <c r="E329" s="27"/>
      <c r="F329" s="27"/>
      <c r="G329" s="27"/>
      <c r="H329" s="27"/>
      <c r="I329" s="27"/>
      <c r="J329" s="27"/>
      <c r="K329" s="27"/>
    </row>
    <row r="330" spans="1:11">
      <c r="A330" s="27"/>
      <c r="B330" s="27"/>
      <c r="C330" s="27"/>
      <c r="D330" s="27"/>
      <c r="E330" s="27"/>
      <c r="F330" s="27"/>
      <c r="G330" s="27"/>
      <c r="H330" s="27"/>
      <c r="I330" s="27"/>
      <c r="J330" s="27"/>
      <c r="K330" s="27"/>
    </row>
    <row r="331" spans="1:11">
      <c r="A331" s="27"/>
      <c r="B331" s="27"/>
      <c r="C331" s="27"/>
      <c r="D331" s="27"/>
      <c r="E331" s="27"/>
      <c r="F331" s="27"/>
      <c r="G331" s="27"/>
      <c r="H331" s="27"/>
      <c r="I331" s="27"/>
      <c r="J331" s="27"/>
      <c r="K331" s="27"/>
    </row>
    <row r="332" spans="1:11">
      <c r="A332" s="27"/>
      <c r="B332" s="27"/>
      <c r="C332" s="27"/>
      <c r="D332" s="27"/>
      <c r="E332" s="27"/>
      <c r="F332" s="27"/>
      <c r="G332" s="27"/>
      <c r="H332" s="27"/>
      <c r="I332" s="27"/>
      <c r="J332" s="27"/>
      <c r="K332" s="27"/>
    </row>
    <row r="333" spans="1:11">
      <c r="A333" s="27"/>
      <c r="B333" s="27"/>
      <c r="C333" s="27"/>
      <c r="D333" s="27"/>
      <c r="E333" s="27"/>
      <c r="F333" s="27"/>
      <c r="G333" s="27"/>
      <c r="H333" s="27"/>
      <c r="I333" s="27"/>
      <c r="J333" s="27"/>
      <c r="K333" s="27"/>
    </row>
    <row r="334" spans="1:11">
      <c r="A334" s="27"/>
      <c r="B334" s="27"/>
      <c r="C334" s="27"/>
      <c r="D334" s="27"/>
      <c r="E334" s="27"/>
      <c r="F334" s="27"/>
      <c r="G334" s="27"/>
      <c r="H334" s="27"/>
      <c r="I334" s="27"/>
      <c r="J334" s="27"/>
      <c r="K334" s="27"/>
    </row>
    <row r="335" spans="1:11">
      <c r="A335" s="27"/>
      <c r="B335" s="27"/>
      <c r="C335" s="27"/>
      <c r="D335" s="27"/>
      <c r="E335" s="27"/>
      <c r="F335" s="27"/>
      <c r="G335" s="27"/>
      <c r="H335" s="27"/>
      <c r="I335" s="27"/>
      <c r="J335" s="27"/>
      <c r="K335" s="27"/>
    </row>
    <row r="336" spans="1:11">
      <c r="A336" s="27"/>
      <c r="B336" s="27"/>
      <c r="C336" s="27"/>
      <c r="D336" s="27"/>
      <c r="E336" s="27"/>
      <c r="F336" s="27"/>
      <c r="G336" s="27"/>
      <c r="H336" s="27"/>
      <c r="I336" s="27"/>
      <c r="J336" s="27"/>
      <c r="K336" s="27"/>
    </row>
    <row r="337" spans="1:11">
      <c r="A337" s="27"/>
      <c r="B337" s="27"/>
      <c r="C337" s="27"/>
      <c r="D337" s="27"/>
      <c r="E337" s="27"/>
      <c r="F337" s="27"/>
      <c r="G337" s="27"/>
      <c r="H337" s="27"/>
      <c r="I337" s="27"/>
      <c r="J337" s="27"/>
      <c r="K337" s="27"/>
    </row>
    <row r="338" spans="1:11">
      <c r="A338" s="27"/>
      <c r="B338" s="27"/>
      <c r="C338" s="27"/>
      <c r="D338" s="27"/>
      <c r="E338" s="27"/>
      <c r="F338" s="27"/>
      <c r="G338" s="27"/>
      <c r="H338" s="27"/>
      <c r="I338" s="27"/>
      <c r="J338" s="27"/>
      <c r="K338" s="27"/>
    </row>
    <row r="339" spans="1:11">
      <c r="A339" s="27"/>
      <c r="B339" s="27"/>
      <c r="C339" s="27"/>
      <c r="D339" s="27"/>
      <c r="E339" s="27"/>
      <c r="F339" s="27"/>
      <c r="G339" s="27"/>
      <c r="H339" s="27"/>
      <c r="I339" s="27"/>
      <c r="J339" s="27"/>
      <c r="K339" s="27"/>
    </row>
    <row r="340" spans="1:11">
      <c r="A340" s="27"/>
      <c r="B340" s="27"/>
      <c r="C340" s="27"/>
      <c r="D340" s="27"/>
      <c r="E340" s="27"/>
      <c r="F340" s="27"/>
      <c r="G340" s="27"/>
      <c r="H340" s="27"/>
      <c r="I340" s="27"/>
      <c r="J340" s="27"/>
      <c r="K340" s="27"/>
    </row>
    <row r="341" spans="1:11">
      <c r="A341" s="27"/>
      <c r="B341" s="27"/>
      <c r="C341" s="27"/>
      <c r="D341" s="27"/>
      <c r="E341" s="27"/>
      <c r="F341" s="27"/>
      <c r="G341" s="27"/>
      <c r="H341" s="27"/>
      <c r="I341" s="27"/>
      <c r="J341" s="27"/>
      <c r="K341" s="27"/>
    </row>
    <row r="342" spans="1:11">
      <c r="A342" s="27"/>
      <c r="B342" s="27"/>
      <c r="C342" s="27"/>
      <c r="D342" s="27"/>
      <c r="E342" s="27"/>
      <c r="F342" s="27"/>
      <c r="G342" s="27"/>
      <c r="H342" s="27"/>
      <c r="I342" s="27"/>
      <c r="J342" s="27"/>
      <c r="K342" s="27"/>
    </row>
    <row r="343" spans="1:11">
      <c r="A343" s="27"/>
      <c r="B343" s="27"/>
      <c r="C343" s="27"/>
      <c r="D343" s="27"/>
      <c r="E343" s="27"/>
      <c r="F343" s="27"/>
      <c r="G343" s="27"/>
      <c r="H343" s="27"/>
      <c r="I343" s="27"/>
      <c r="J343" s="27"/>
      <c r="K343" s="27"/>
    </row>
    <row r="344" spans="1:11">
      <c r="A344" s="27"/>
      <c r="B344" s="27"/>
      <c r="C344" s="27"/>
      <c r="D344" s="27"/>
      <c r="E344" s="27"/>
      <c r="F344" s="27"/>
      <c r="G344" s="27"/>
      <c r="H344" s="27"/>
      <c r="I344" s="27"/>
      <c r="J344" s="27"/>
      <c r="K344" s="27"/>
    </row>
    <row r="345" spans="1:11">
      <c r="A345" s="27"/>
      <c r="B345" s="27"/>
      <c r="C345" s="27"/>
      <c r="D345" s="27"/>
      <c r="E345" s="27"/>
      <c r="F345" s="27"/>
      <c r="G345" s="27"/>
      <c r="H345" s="27"/>
      <c r="I345" s="27"/>
      <c r="J345" s="27"/>
      <c r="K345" s="27"/>
    </row>
  </sheetData>
  <pageMargins left="0.78740157499999996" right="0.78740157499999996" top="0.984251969" bottom="0.984251969" header="0.4921259845" footer="0.4921259845"/>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dimension ref="A1:R753"/>
  <sheetViews>
    <sheetView workbookViewId="0">
      <selection activeCell="E61" sqref="E61"/>
    </sheetView>
  </sheetViews>
  <sheetFormatPr baseColWidth="10" defaultColWidth="11.42578125" defaultRowHeight="12.75"/>
  <cols>
    <col min="1" max="1" width="42.85546875" style="518" customWidth="1"/>
    <col min="2" max="2" width="13.42578125" style="518" customWidth="1"/>
    <col min="3" max="3" width="31.28515625" style="518" customWidth="1"/>
    <col min="4" max="4" width="14.42578125" style="518" customWidth="1"/>
    <col min="5" max="5" width="31.85546875" style="518" customWidth="1"/>
    <col min="6" max="6" width="14" style="518" customWidth="1"/>
    <col min="7" max="7" width="10" style="518" customWidth="1"/>
    <col min="8" max="8" width="11.5703125" style="518" bestFit="1" customWidth="1"/>
    <col min="9" max="13" width="11.85546875" style="518" bestFit="1" customWidth="1"/>
    <col min="14" max="15" width="11.5703125" style="518" bestFit="1" customWidth="1"/>
    <col min="16" max="20" width="11.85546875" style="518" bestFit="1" customWidth="1"/>
    <col min="21" max="16384" width="11.42578125" style="518"/>
  </cols>
  <sheetData>
    <row r="1" spans="1:11" s="513" customFormat="1">
      <c r="A1" s="345" t="s">
        <v>1538</v>
      </c>
      <c r="B1" s="512"/>
      <c r="C1" s="512"/>
      <c r="D1" s="512"/>
      <c r="E1" s="512"/>
      <c r="F1" s="512"/>
      <c r="G1" s="512"/>
      <c r="H1" s="512"/>
      <c r="I1" s="512"/>
      <c r="J1" s="512"/>
      <c r="K1" s="512"/>
    </row>
    <row r="2" spans="1:11" s="513" customFormat="1">
      <c r="A2" s="345"/>
      <c r="B2" s="512"/>
      <c r="C2" s="512"/>
      <c r="D2" s="512"/>
      <c r="E2" s="512"/>
      <c r="F2" s="512"/>
      <c r="G2" s="512"/>
      <c r="H2" s="512"/>
      <c r="I2" s="512"/>
      <c r="J2" s="512"/>
      <c r="K2" s="512"/>
    </row>
    <row r="3" spans="1:11" s="513" customFormat="1">
      <c r="A3" s="512"/>
      <c r="B3" s="512"/>
      <c r="C3" s="512"/>
      <c r="D3" s="512"/>
      <c r="E3" s="512"/>
      <c r="F3" s="512"/>
      <c r="G3" s="512"/>
      <c r="H3" s="512"/>
      <c r="I3" s="512"/>
      <c r="J3" s="512"/>
      <c r="K3" s="512"/>
    </row>
    <row r="4" spans="1:11" s="513" customFormat="1">
      <c r="A4" s="512"/>
      <c r="B4" s="512"/>
      <c r="C4" s="512"/>
      <c r="D4" s="512"/>
      <c r="E4" s="512"/>
      <c r="F4" s="512"/>
      <c r="G4" s="512"/>
      <c r="H4" s="512"/>
      <c r="I4" s="512"/>
      <c r="J4" s="512"/>
      <c r="K4" s="512"/>
    </row>
    <row r="5" spans="1:11" s="513" customFormat="1">
      <c r="A5" s="512"/>
      <c r="B5" s="512"/>
      <c r="C5" s="512"/>
      <c r="D5" s="512"/>
      <c r="E5" s="512"/>
      <c r="F5" s="512"/>
      <c r="G5" s="512"/>
      <c r="H5" s="512"/>
      <c r="I5" s="512"/>
      <c r="J5" s="512"/>
      <c r="K5" s="512"/>
    </row>
    <row r="6" spans="1:11" s="513" customFormat="1">
      <c r="A6" s="512"/>
      <c r="B6" s="512"/>
      <c r="C6" s="512"/>
      <c r="D6" s="512"/>
      <c r="E6" s="512"/>
      <c r="F6" s="512"/>
      <c r="G6" s="512"/>
      <c r="H6" s="512"/>
      <c r="I6" s="512"/>
      <c r="J6" s="512"/>
      <c r="K6" s="512"/>
    </row>
    <row r="7" spans="1:11" s="513" customFormat="1">
      <c r="A7" s="512"/>
      <c r="B7" s="512"/>
      <c r="C7" s="512"/>
      <c r="D7" s="512"/>
      <c r="E7" s="512"/>
      <c r="F7" s="512"/>
      <c r="G7" s="512"/>
      <c r="H7" s="512"/>
      <c r="I7" s="512"/>
      <c r="J7" s="512"/>
      <c r="K7" s="512"/>
    </row>
    <row r="8" spans="1:11" s="513" customFormat="1">
      <c r="A8" s="512"/>
      <c r="B8" s="512"/>
      <c r="C8" s="512"/>
      <c r="D8" s="512"/>
      <c r="E8" s="512"/>
      <c r="F8" s="512"/>
      <c r="G8" s="512"/>
      <c r="H8" s="512"/>
      <c r="I8" s="512"/>
      <c r="J8" s="512"/>
      <c r="K8" s="512"/>
    </row>
    <row r="9" spans="1:11" s="513" customFormat="1">
      <c r="A9" s="512"/>
      <c r="B9" s="512"/>
      <c r="C9" s="512"/>
      <c r="D9" s="512"/>
      <c r="E9" s="512"/>
      <c r="F9" s="512"/>
      <c r="G9" s="512"/>
      <c r="H9" s="512"/>
      <c r="I9" s="512"/>
      <c r="J9" s="512"/>
      <c r="K9" s="512"/>
    </row>
    <row r="10" spans="1:11" s="513" customFormat="1">
      <c r="A10" s="512"/>
      <c r="B10" s="512"/>
      <c r="C10" s="512"/>
      <c r="D10" s="512"/>
      <c r="E10" s="512"/>
      <c r="F10" s="512"/>
      <c r="G10" s="512"/>
      <c r="H10" s="512"/>
      <c r="I10" s="512"/>
      <c r="J10" s="512"/>
      <c r="K10" s="512"/>
    </row>
    <row r="11" spans="1:11" s="513" customFormat="1">
      <c r="A11" s="512"/>
      <c r="B11" s="514"/>
      <c r="C11" s="512"/>
      <c r="D11" s="512"/>
      <c r="E11" s="512"/>
      <c r="F11" s="512"/>
      <c r="G11" s="512"/>
      <c r="H11" s="512"/>
      <c r="I11" s="512"/>
      <c r="J11" s="512"/>
      <c r="K11" s="512"/>
    </row>
    <row r="12" spans="1:11" s="513" customFormat="1">
      <c r="A12" s="512"/>
      <c r="B12" s="512"/>
      <c r="C12" s="512"/>
      <c r="D12" s="512"/>
      <c r="E12" s="512"/>
      <c r="F12" s="512"/>
      <c r="G12" s="512"/>
      <c r="H12" s="512"/>
      <c r="I12" s="512"/>
      <c r="J12" s="512"/>
      <c r="K12" s="512"/>
    </row>
    <row r="13" spans="1:11" s="513" customFormat="1">
      <c r="A13" s="512"/>
      <c r="B13" s="512"/>
      <c r="C13" s="512"/>
      <c r="D13" s="512"/>
      <c r="E13" s="512"/>
      <c r="F13" s="512"/>
      <c r="G13" s="512"/>
      <c r="H13" s="512"/>
      <c r="I13" s="512"/>
      <c r="J13" s="512"/>
      <c r="K13" s="512"/>
    </row>
    <row r="14" spans="1:11" s="513" customFormat="1">
      <c r="A14" s="512"/>
      <c r="B14" s="512"/>
      <c r="C14" s="512"/>
      <c r="D14" s="512"/>
      <c r="E14" s="512"/>
      <c r="F14" s="512"/>
      <c r="G14" s="512"/>
      <c r="H14" s="512"/>
      <c r="I14" s="512"/>
      <c r="J14" s="512"/>
      <c r="K14" s="512"/>
    </row>
    <row r="15" spans="1:11" s="513" customFormat="1">
      <c r="A15" s="512"/>
      <c r="B15" s="512"/>
      <c r="C15" s="512"/>
      <c r="D15" s="512"/>
      <c r="E15" s="512"/>
      <c r="F15" s="512"/>
      <c r="G15" s="512"/>
      <c r="H15" s="512"/>
      <c r="I15" s="512"/>
      <c r="J15" s="512"/>
      <c r="K15" s="512"/>
    </row>
    <row r="16" spans="1:11" s="513" customFormat="1">
      <c r="A16" s="363" t="s">
        <v>1215</v>
      </c>
      <c r="B16" s="363"/>
      <c r="C16" s="363"/>
      <c r="D16" s="363"/>
      <c r="E16" s="586" t="s">
        <v>1216</v>
      </c>
      <c r="F16" s="586" t="s">
        <v>1217</v>
      </c>
      <c r="G16" s="363"/>
      <c r="H16" s="363"/>
      <c r="I16" s="363"/>
      <c r="J16" s="363"/>
      <c r="K16" s="363"/>
    </row>
    <row r="17" spans="1:11" s="513" customFormat="1">
      <c r="A17" s="363"/>
      <c r="B17" s="363"/>
      <c r="C17" s="363"/>
      <c r="D17" s="363"/>
      <c r="E17" s="363"/>
      <c r="F17" s="363"/>
      <c r="G17" s="363"/>
      <c r="H17" s="363"/>
      <c r="I17" s="363"/>
      <c r="J17" s="363"/>
      <c r="K17" s="363"/>
    </row>
    <row r="18" spans="1:11" s="513" customFormat="1">
      <c r="A18" s="363" t="s">
        <v>1218</v>
      </c>
      <c r="B18" s="363"/>
      <c r="C18" s="363"/>
      <c r="D18" s="363"/>
      <c r="E18" s="515">
        <v>2</v>
      </c>
      <c r="F18" s="515">
        <v>3</v>
      </c>
      <c r="G18" s="363" t="s">
        <v>1219</v>
      </c>
      <c r="H18" s="363"/>
      <c r="I18" s="363"/>
      <c r="J18" s="363"/>
      <c r="K18" s="363"/>
    </row>
    <row r="19" spans="1:11" s="513" customFormat="1">
      <c r="A19" s="363" t="s">
        <v>1220</v>
      </c>
      <c r="B19" s="363"/>
      <c r="C19" s="363"/>
      <c r="D19" s="363"/>
      <c r="E19" s="515">
        <v>2</v>
      </c>
      <c r="F19" s="515">
        <v>3</v>
      </c>
      <c r="G19" s="363" t="s">
        <v>1221</v>
      </c>
      <c r="H19" s="363"/>
      <c r="I19" s="363"/>
      <c r="J19" s="363"/>
      <c r="K19" s="363"/>
    </row>
    <row r="20" spans="1:11" s="513" customFormat="1">
      <c r="A20" s="363" t="s">
        <v>1222</v>
      </c>
      <c r="B20" s="363"/>
      <c r="C20" s="363"/>
      <c r="D20" s="363"/>
      <c r="E20" s="515">
        <v>2</v>
      </c>
      <c r="F20" s="515">
        <v>3</v>
      </c>
      <c r="G20" s="363" t="s">
        <v>1223</v>
      </c>
      <c r="H20" s="363"/>
      <c r="I20" s="363"/>
      <c r="J20" s="363"/>
      <c r="K20" s="363"/>
    </row>
    <row r="21" spans="1:11" s="513" customFormat="1">
      <c r="A21" s="363" t="s">
        <v>1224</v>
      </c>
      <c r="B21" s="363"/>
      <c r="C21" s="363"/>
      <c r="D21" s="363"/>
      <c r="E21" s="515" t="s">
        <v>1225</v>
      </c>
      <c r="F21" s="515" t="s">
        <v>1226</v>
      </c>
      <c r="G21" s="363" t="s">
        <v>1227</v>
      </c>
      <c r="H21" s="363"/>
      <c r="I21" s="363"/>
      <c r="J21" s="363"/>
      <c r="K21" s="363"/>
    </row>
    <row r="22" spans="1:11" s="513" customFormat="1">
      <c r="A22" s="363" t="s">
        <v>1228</v>
      </c>
      <c r="B22" s="363"/>
      <c r="C22" s="363"/>
      <c r="D22" s="363"/>
      <c r="E22" s="515" t="s">
        <v>1229</v>
      </c>
      <c r="F22" s="515" t="s">
        <v>1230</v>
      </c>
      <c r="G22" s="363"/>
      <c r="H22" s="363"/>
      <c r="I22" s="363"/>
      <c r="J22" s="363"/>
      <c r="K22" s="363"/>
    </row>
    <row r="23" spans="1:11" s="513" customFormat="1">
      <c r="A23" s="363" t="s">
        <v>1231</v>
      </c>
      <c r="B23" s="363"/>
      <c r="C23" s="363"/>
      <c r="D23" s="363"/>
      <c r="E23" s="363"/>
      <c r="F23" s="363"/>
      <c r="G23" s="363"/>
      <c r="H23" s="363"/>
      <c r="I23" s="363"/>
      <c r="J23" s="363"/>
      <c r="K23" s="363"/>
    </row>
    <row r="24" spans="1:11" s="513" customFormat="1">
      <c r="A24" s="363" t="s">
        <v>1232</v>
      </c>
      <c r="B24" s="363"/>
      <c r="C24" s="363"/>
      <c r="D24" s="363"/>
      <c r="E24" s="515" t="s">
        <v>1233</v>
      </c>
      <c r="F24" s="516" t="s">
        <v>1234</v>
      </c>
      <c r="G24" s="363" t="s">
        <v>1235</v>
      </c>
      <c r="H24" s="363"/>
      <c r="I24" s="363"/>
      <c r="J24" s="363"/>
      <c r="K24" s="363"/>
    </row>
    <row r="25" spans="1:11" s="513" customFormat="1">
      <c r="A25" s="363"/>
      <c r="B25" s="363"/>
      <c r="C25" s="363"/>
      <c r="D25" s="363"/>
      <c r="E25" s="363" t="s">
        <v>1236</v>
      </c>
      <c r="F25" s="363"/>
      <c r="G25" s="363"/>
      <c r="H25" s="363"/>
      <c r="I25" s="363"/>
      <c r="J25" s="363"/>
      <c r="K25" s="363"/>
    </row>
    <row r="26" spans="1:11" s="513" customFormat="1" ht="13.5" thickBot="1">
      <c r="A26" s="517"/>
      <c r="B26" s="517"/>
      <c r="C26" s="517"/>
      <c r="D26" s="517"/>
      <c r="E26" s="517"/>
      <c r="F26" s="517"/>
      <c r="G26" s="517"/>
      <c r="H26" s="517"/>
      <c r="I26" s="517"/>
      <c r="J26" s="517"/>
      <c r="K26" s="363"/>
    </row>
    <row r="27" spans="1:11" s="513" customFormat="1">
      <c r="A27" s="363"/>
      <c r="B27" s="363"/>
      <c r="C27" s="363"/>
      <c r="D27" s="363"/>
      <c r="E27" s="363"/>
      <c r="F27" s="363"/>
      <c r="G27" s="363"/>
      <c r="H27" s="363"/>
      <c r="I27" s="363"/>
      <c r="J27" s="363"/>
      <c r="K27" s="363"/>
    </row>
    <row r="28" spans="1:11" s="513" customFormat="1">
      <c r="A28" s="363" t="s">
        <v>1237</v>
      </c>
      <c r="B28" s="363"/>
      <c r="C28" s="363"/>
      <c r="D28" s="363"/>
      <c r="E28" s="515" t="s">
        <v>1233</v>
      </c>
      <c r="F28" s="516" t="s">
        <v>1234</v>
      </c>
      <c r="G28" s="363" t="s">
        <v>1238</v>
      </c>
      <c r="H28" s="363"/>
      <c r="I28" s="363"/>
      <c r="J28" s="363"/>
      <c r="K28" s="363"/>
    </row>
    <row r="29" spans="1:11" s="513" customFormat="1">
      <c r="A29" s="363"/>
      <c r="B29" s="363"/>
      <c r="C29" s="363"/>
      <c r="D29" s="363"/>
      <c r="E29" s="515"/>
      <c r="F29" s="363"/>
      <c r="G29" s="363" t="s">
        <v>1239</v>
      </c>
      <c r="H29" s="363"/>
      <c r="I29" s="363"/>
      <c r="J29" s="363"/>
      <c r="K29" s="363"/>
    </row>
    <row r="30" spans="1:11" s="513" customFormat="1">
      <c r="A30" s="363"/>
      <c r="B30" s="363"/>
      <c r="C30" s="363"/>
      <c r="D30" s="363"/>
      <c r="E30" s="515"/>
      <c r="F30" s="363"/>
      <c r="G30" s="363" t="s">
        <v>1240</v>
      </c>
      <c r="H30" s="363"/>
      <c r="I30" s="363"/>
      <c r="J30" s="363"/>
      <c r="K30" s="363"/>
    </row>
    <row r="31" spans="1:11" s="513" customFormat="1">
      <c r="A31" s="363"/>
      <c r="B31" s="363"/>
      <c r="C31" s="363"/>
      <c r="D31" s="363"/>
      <c r="E31" s="515"/>
      <c r="F31" s="363"/>
      <c r="G31" s="363"/>
      <c r="H31" s="363"/>
      <c r="I31" s="363"/>
      <c r="J31" s="363"/>
      <c r="K31" s="363"/>
    </row>
    <row r="32" spans="1:11" s="513" customFormat="1">
      <c r="A32" s="363" t="s">
        <v>1241</v>
      </c>
      <c r="B32" s="363"/>
      <c r="C32" s="363"/>
      <c r="D32" s="363"/>
      <c r="E32" s="516" t="s">
        <v>1242</v>
      </c>
      <c r="F32" s="516" t="s">
        <v>1243</v>
      </c>
      <c r="G32" s="363" t="s">
        <v>1244</v>
      </c>
      <c r="H32" s="363"/>
      <c r="I32" s="363"/>
      <c r="J32" s="363"/>
      <c r="K32" s="363"/>
    </row>
    <row r="33" spans="1:11" s="513" customFormat="1">
      <c r="A33" s="363"/>
      <c r="B33" s="363"/>
      <c r="C33" s="363"/>
      <c r="D33" s="363"/>
      <c r="E33" s="515" t="s">
        <v>1245</v>
      </c>
      <c r="F33" s="515" t="s">
        <v>1246</v>
      </c>
      <c r="G33" s="363" t="s">
        <v>1247</v>
      </c>
      <c r="H33" s="363"/>
      <c r="I33" s="363"/>
      <c r="J33" s="363"/>
      <c r="K33" s="363"/>
    </row>
    <row r="34" spans="1:11" s="513" customFormat="1">
      <c r="A34" s="363"/>
      <c r="B34" s="363"/>
      <c r="C34" s="363"/>
      <c r="D34" s="363"/>
      <c r="E34" s="515" t="s">
        <v>1245</v>
      </c>
      <c r="F34" s="515" t="s">
        <v>1246</v>
      </c>
      <c r="G34" s="363" t="s">
        <v>1248</v>
      </c>
      <c r="H34" s="363"/>
      <c r="I34" s="363"/>
      <c r="J34" s="363"/>
      <c r="K34" s="363"/>
    </row>
    <row r="35" spans="1:11" s="513" customFormat="1">
      <c r="A35" s="363"/>
      <c r="B35" s="363"/>
      <c r="C35" s="363"/>
      <c r="D35" s="363"/>
      <c r="E35" s="515" t="s">
        <v>1245</v>
      </c>
      <c r="F35" s="515" t="s">
        <v>1246</v>
      </c>
      <c r="G35" s="363" t="s">
        <v>1249</v>
      </c>
      <c r="H35" s="363"/>
      <c r="I35" s="363"/>
      <c r="J35" s="363"/>
      <c r="K35" s="363"/>
    </row>
    <row r="36" spans="1:11" s="513" customFormat="1">
      <c r="A36" s="363"/>
      <c r="B36" s="363"/>
      <c r="C36" s="363"/>
      <c r="D36" s="363"/>
      <c r="E36" s="363"/>
      <c r="F36" s="363"/>
      <c r="G36" s="363"/>
      <c r="H36" s="363"/>
      <c r="I36" s="363"/>
      <c r="J36" s="363"/>
      <c r="K36" s="363"/>
    </row>
    <row r="37" spans="1:11" s="513" customFormat="1">
      <c r="A37" s="363" t="s">
        <v>1250</v>
      </c>
      <c r="B37" s="363"/>
      <c r="C37" s="363"/>
      <c r="D37" s="363"/>
      <c r="E37" s="363"/>
      <c r="F37" s="363"/>
      <c r="G37" s="363"/>
      <c r="H37" s="363"/>
      <c r="I37" s="363"/>
      <c r="J37" s="363"/>
      <c r="K37" s="363"/>
    </row>
    <row r="38" spans="1:11" s="513" customFormat="1">
      <c r="A38" s="363" t="s">
        <v>1251</v>
      </c>
      <c r="B38" s="363"/>
      <c r="C38" s="363"/>
      <c r="D38" s="363"/>
      <c r="E38" s="363"/>
      <c r="F38" s="363"/>
      <c r="G38" s="363"/>
      <c r="H38" s="363"/>
      <c r="I38" s="363"/>
      <c r="J38" s="363"/>
      <c r="K38" s="363"/>
    </row>
    <row r="39" spans="1:11" s="513" customFormat="1">
      <c r="A39" s="211"/>
    </row>
    <row r="40" spans="1:11" s="513" customFormat="1">
      <c r="A40" s="211"/>
    </row>
    <row r="41" spans="1:11" s="513" customFormat="1">
      <c r="A41" s="211"/>
    </row>
    <row r="42" spans="1:11" s="513" customFormat="1">
      <c r="A42" s="211"/>
    </row>
    <row r="43" spans="1:11" s="513" customFormat="1">
      <c r="A43" s="211"/>
    </row>
    <row r="44" spans="1:11" s="513" customFormat="1">
      <c r="A44" s="211"/>
    </row>
    <row r="45" spans="1:11" s="513" customFormat="1">
      <c r="A45" s="211"/>
    </row>
    <row r="46" spans="1:11" s="513" customFormat="1">
      <c r="A46" s="519"/>
    </row>
    <row r="47" spans="1:11" s="513" customFormat="1">
      <c r="A47" s="513" t="s">
        <v>1252</v>
      </c>
    </row>
    <row r="48" spans="1:11" s="513" customFormat="1">
      <c r="A48" s="513" t="s">
        <v>1253</v>
      </c>
    </row>
    <row r="49" spans="1:8" s="513" customFormat="1">
      <c r="A49" s="513" t="s">
        <v>1254</v>
      </c>
    </row>
    <row r="50" spans="1:8" s="513" customFormat="1">
      <c r="A50" s="513" t="s">
        <v>1255</v>
      </c>
    </row>
    <row r="51" spans="1:8" s="513" customFormat="1"/>
    <row r="52" spans="1:8" s="513" customFormat="1">
      <c r="A52" s="280" t="s">
        <v>1256</v>
      </c>
      <c r="B52" s="280"/>
      <c r="D52" s="280"/>
      <c r="E52" s="280"/>
      <c r="F52" s="280"/>
      <c r="G52" s="280"/>
      <c r="H52" s="280"/>
    </row>
    <row r="53" spans="1:8" s="513" customFormat="1">
      <c r="A53" s="280" t="s">
        <v>1257</v>
      </c>
      <c r="B53" s="280"/>
      <c r="D53" s="280"/>
      <c r="E53" s="280"/>
      <c r="F53" s="280"/>
      <c r="G53" s="280"/>
      <c r="H53" s="280"/>
    </row>
    <row r="54" spans="1:8" s="513" customFormat="1">
      <c r="A54" s="280"/>
      <c r="B54" s="280"/>
      <c r="D54" s="280"/>
      <c r="E54" s="280"/>
      <c r="F54" s="280"/>
      <c r="G54" s="280"/>
      <c r="H54" s="280"/>
    </row>
    <row r="55" spans="1:8" s="513" customFormat="1">
      <c r="A55" s="280" t="s">
        <v>1258</v>
      </c>
      <c r="B55" s="280"/>
      <c r="D55" s="280"/>
      <c r="E55" s="280"/>
      <c r="F55" s="280"/>
      <c r="G55" s="280"/>
      <c r="H55" s="280"/>
    </row>
    <row r="56" spans="1:8" s="513" customFormat="1">
      <c r="A56" s="280"/>
      <c r="D56" s="280"/>
      <c r="E56" s="280"/>
      <c r="F56" s="280"/>
      <c r="G56" s="280"/>
      <c r="H56" s="280"/>
    </row>
    <row r="57" spans="1:8" s="513" customFormat="1">
      <c r="A57" s="513" t="s">
        <v>492</v>
      </c>
      <c r="B57" s="280"/>
      <c r="D57" s="280"/>
      <c r="E57" s="280"/>
      <c r="F57" s="280"/>
      <c r="G57" s="280"/>
      <c r="H57" s="280"/>
    </row>
    <row r="58" spans="1:8" s="513" customFormat="1">
      <c r="A58" s="280" t="s">
        <v>493</v>
      </c>
      <c r="B58" s="280"/>
      <c r="D58" s="280"/>
      <c r="E58" s="280"/>
      <c r="F58" s="280"/>
      <c r="G58" s="280"/>
      <c r="H58" s="280"/>
    </row>
    <row r="59" spans="1:8" s="513" customFormat="1">
      <c r="A59" s="276" t="s">
        <v>494</v>
      </c>
      <c r="B59" s="280"/>
      <c r="D59" s="280"/>
      <c r="E59" s="280"/>
      <c r="F59" s="280"/>
      <c r="G59" s="280"/>
      <c r="H59" s="280"/>
    </row>
    <row r="60" spans="1:8" s="513" customFormat="1">
      <c r="A60" s="276"/>
      <c r="B60" s="280"/>
      <c r="D60" s="280"/>
      <c r="E60" s="280"/>
      <c r="F60" s="280"/>
      <c r="G60" s="280"/>
      <c r="H60" s="280"/>
    </row>
    <row r="61" spans="1:8" s="513" customFormat="1">
      <c r="A61" s="280" t="s">
        <v>1259</v>
      </c>
      <c r="B61" s="280"/>
      <c r="D61" s="520"/>
      <c r="E61" s="280"/>
      <c r="F61" s="521"/>
      <c r="G61" s="280"/>
      <c r="H61" s="280"/>
    </row>
    <row r="62" spans="1:8" s="513" customFormat="1">
      <c r="A62" s="280" t="s">
        <v>1260</v>
      </c>
      <c r="B62" s="280"/>
      <c r="D62" s="520"/>
      <c r="E62" s="280"/>
      <c r="F62" s="521"/>
      <c r="G62" s="280"/>
      <c r="H62" s="280"/>
    </row>
    <row r="63" spans="1:8" s="513" customFormat="1">
      <c r="B63" s="280"/>
      <c r="D63" s="520"/>
      <c r="E63" s="280"/>
      <c r="F63" s="521"/>
      <c r="G63" s="280"/>
      <c r="H63" s="280"/>
    </row>
    <row r="64" spans="1:8" s="513" customFormat="1">
      <c r="A64" s="280" t="s">
        <v>1261</v>
      </c>
      <c r="B64" s="280"/>
      <c r="D64" s="520"/>
      <c r="E64" s="280"/>
      <c r="F64" s="521"/>
      <c r="G64" s="280"/>
      <c r="H64" s="280"/>
    </row>
    <row r="65" spans="1:8" s="513" customFormat="1">
      <c r="A65" s="513" t="s">
        <v>1262</v>
      </c>
      <c r="D65" s="520"/>
      <c r="E65" s="280"/>
      <c r="F65" s="280"/>
      <c r="G65" s="280"/>
      <c r="H65" s="280"/>
    </row>
    <row r="66" spans="1:8" s="513" customFormat="1">
      <c r="A66" s="513" t="s">
        <v>1263</v>
      </c>
      <c r="B66" s="520"/>
      <c r="C66" s="280"/>
      <c r="D66" s="521"/>
      <c r="E66" s="280"/>
      <c r="F66" s="280"/>
      <c r="G66" s="280"/>
      <c r="H66" s="280"/>
    </row>
    <row r="67" spans="1:8" s="513" customFormat="1">
      <c r="B67" s="520"/>
      <c r="C67" s="280"/>
      <c r="D67" s="521"/>
      <c r="E67" s="280"/>
      <c r="F67" s="280"/>
      <c r="G67" s="280"/>
      <c r="H67" s="280"/>
    </row>
    <row r="68" spans="1:8" s="513" customFormat="1">
      <c r="B68" s="520"/>
      <c r="C68" s="280"/>
      <c r="D68" s="521"/>
      <c r="E68" s="280"/>
      <c r="F68" s="280"/>
      <c r="G68" s="280"/>
      <c r="H68" s="280"/>
    </row>
    <row r="70" spans="1:8">
      <c r="A70" s="522" t="s">
        <v>1264</v>
      </c>
    </row>
    <row r="72" spans="1:8">
      <c r="A72" s="518" t="s">
        <v>565</v>
      </c>
    </row>
    <row r="74" spans="1:8">
      <c r="A74" s="253" t="s">
        <v>1265</v>
      </c>
      <c r="B74" s="522">
        <v>2</v>
      </c>
      <c r="C74" s="518" t="s">
        <v>68</v>
      </c>
    </row>
    <row r="75" spans="1:8">
      <c r="A75" s="253" t="s">
        <v>1266</v>
      </c>
      <c r="B75" s="522">
        <v>1</v>
      </c>
      <c r="C75" s="518" t="s">
        <v>68</v>
      </c>
    </row>
    <row r="76" spans="1:8">
      <c r="A76" s="253"/>
    </row>
    <row r="77" spans="1:8">
      <c r="A77" s="253" t="s">
        <v>74</v>
      </c>
      <c r="B77" s="523">
        <v>1</v>
      </c>
    </row>
    <row r="78" spans="1:8">
      <c r="A78" s="253" t="s">
        <v>94</v>
      </c>
      <c r="B78" s="523">
        <v>0.25</v>
      </c>
    </row>
    <row r="79" spans="1:8">
      <c r="A79" s="253"/>
    </row>
    <row r="80" spans="1:8">
      <c r="A80" s="253" t="s">
        <v>1267</v>
      </c>
      <c r="B80" s="522">
        <v>4</v>
      </c>
      <c r="C80" s="518" t="s">
        <v>68</v>
      </c>
    </row>
    <row r="82" spans="1:18">
      <c r="A82" s="524" t="s">
        <v>500</v>
      </c>
    </row>
    <row r="83" spans="1:18">
      <c r="A83" s="253"/>
    </row>
    <row r="84" spans="1:18">
      <c r="A84" s="253" t="s">
        <v>92</v>
      </c>
      <c r="B84" s="525">
        <f>B78/B77</f>
        <v>0.25</v>
      </c>
    </row>
    <row r="85" spans="1:18">
      <c r="A85" s="253"/>
      <c r="B85" s="525"/>
    </row>
    <row r="86" spans="1:18">
      <c r="A86" s="253" t="s">
        <v>90</v>
      </c>
      <c r="B86" s="525">
        <f>1/B84</f>
        <v>4</v>
      </c>
    </row>
    <row r="87" spans="1:18">
      <c r="A87" s="253"/>
      <c r="B87" s="525"/>
    </row>
    <row r="88" spans="1:18">
      <c r="A88" s="253" t="s">
        <v>82</v>
      </c>
      <c r="B88" s="526">
        <f>SQRT(B86)</f>
        <v>2</v>
      </c>
    </row>
    <row r="89" spans="1:18">
      <c r="A89" s="253"/>
      <c r="B89" s="525"/>
    </row>
    <row r="90" spans="1:18">
      <c r="A90" s="496" t="s">
        <v>1268</v>
      </c>
      <c r="B90" s="497">
        <f>B80*B88</f>
        <v>8</v>
      </c>
      <c r="C90" s="298" t="s">
        <v>68</v>
      </c>
    </row>
    <row r="91" spans="1:18">
      <c r="A91" s="512"/>
      <c r="B91" s="512"/>
      <c r="C91" s="512"/>
      <c r="D91" s="512"/>
      <c r="E91" s="512"/>
      <c r="F91" s="512"/>
      <c r="G91" s="512"/>
      <c r="H91" s="512"/>
      <c r="I91" s="512"/>
      <c r="J91" s="512"/>
      <c r="K91" s="512"/>
      <c r="L91" s="512"/>
      <c r="M91" s="512"/>
      <c r="N91" s="512"/>
      <c r="O91" s="512"/>
      <c r="P91" s="512"/>
      <c r="Q91" s="512"/>
      <c r="R91" s="512"/>
    </row>
    <row r="92" spans="1:18">
      <c r="A92" s="512"/>
      <c r="B92" s="512"/>
      <c r="C92" s="512"/>
      <c r="D92" s="512"/>
      <c r="E92" s="512"/>
      <c r="F92" s="512"/>
      <c r="G92" s="512"/>
      <c r="H92" s="512"/>
      <c r="I92" s="512"/>
      <c r="J92" s="512"/>
      <c r="K92" s="512"/>
      <c r="L92" s="512"/>
      <c r="M92" s="512"/>
      <c r="N92" s="512"/>
      <c r="O92" s="512"/>
      <c r="P92" s="512"/>
      <c r="Q92" s="512"/>
      <c r="R92" s="512"/>
    </row>
    <row r="93" spans="1:18">
      <c r="A93" s="512"/>
      <c r="B93" s="512"/>
      <c r="C93" s="512"/>
      <c r="D93" s="512"/>
      <c r="E93" s="512"/>
      <c r="F93" s="512"/>
      <c r="G93" s="512"/>
      <c r="H93" s="512"/>
      <c r="I93" s="512"/>
      <c r="J93" s="512"/>
      <c r="K93" s="512"/>
      <c r="L93" s="512"/>
      <c r="M93" s="512"/>
      <c r="N93" s="512"/>
      <c r="O93" s="512"/>
      <c r="P93" s="512"/>
      <c r="Q93" s="512"/>
      <c r="R93" s="512"/>
    </row>
    <row r="94" spans="1:18">
      <c r="A94" s="512"/>
      <c r="B94" s="512"/>
      <c r="C94" s="512"/>
      <c r="D94" s="512"/>
      <c r="E94" s="512"/>
      <c r="F94" s="512"/>
      <c r="G94" s="512"/>
      <c r="H94" s="512"/>
      <c r="I94" s="512"/>
      <c r="J94" s="512"/>
      <c r="K94" s="512"/>
      <c r="L94" s="512"/>
      <c r="M94" s="512"/>
      <c r="N94" s="512"/>
      <c r="O94" s="512"/>
      <c r="P94" s="512"/>
      <c r="Q94" s="512"/>
      <c r="R94" s="512"/>
    </row>
    <row r="95" spans="1:18">
      <c r="A95" s="512"/>
      <c r="B95" s="512"/>
      <c r="C95" s="512"/>
      <c r="D95" s="512"/>
      <c r="E95" s="512"/>
      <c r="F95" s="512"/>
      <c r="G95" s="512"/>
      <c r="H95" s="512"/>
      <c r="I95" s="512"/>
      <c r="J95" s="512"/>
      <c r="K95" s="512"/>
      <c r="L95" s="512"/>
      <c r="M95" s="512"/>
      <c r="N95" s="512"/>
      <c r="O95" s="512"/>
      <c r="P95" s="512"/>
      <c r="Q95" s="512"/>
      <c r="R95" s="512"/>
    </row>
    <row r="96" spans="1:18" ht="13.5" thickBot="1">
      <c r="A96" s="501"/>
      <c r="B96" s="527"/>
      <c r="C96" s="528"/>
      <c r="D96" s="527"/>
      <c r="E96" s="512"/>
      <c r="F96" s="512"/>
      <c r="G96" s="512"/>
      <c r="H96" s="512"/>
      <c r="I96" s="512"/>
      <c r="J96" s="512"/>
      <c r="K96" s="512"/>
      <c r="L96" s="512"/>
      <c r="M96" s="512"/>
      <c r="N96" s="512"/>
      <c r="O96" s="512"/>
      <c r="P96" s="512"/>
      <c r="Q96" s="512"/>
      <c r="R96" s="512"/>
    </row>
    <row r="97" spans="1:4">
      <c r="A97" s="219" t="s">
        <v>1269</v>
      </c>
      <c r="B97" s="529">
        <v>100</v>
      </c>
      <c r="C97" s="530" t="s">
        <v>1270</v>
      </c>
      <c r="D97" s="531"/>
    </row>
    <row r="98" spans="1:4">
      <c r="A98" s="219" t="s">
        <v>1271</v>
      </c>
      <c r="B98" s="532">
        <v>4</v>
      </c>
      <c r="C98" s="530" t="s">
        <v>762</v>
      </c>
      <c r="D98" s="498"/>
    </row>
    <row r="99" spans="1:4">
      <c r="A99" s="219" t="s">
        <v>1272</v>
      </c>
      <c r="B99" s="532">
        <v>2</v>
      </c>
      <c r="C99" s="530" t="s">
        <v>762</v>
      </c>
      <c r="D99" s="531"/>
    </row>
    <row r="100" spans="1:4">
      <c r="A100" s="219" t="s">
        <v>1273</v>
      </c>
      <c r="B100" s="532">
        <v>1</v>
      </c>
      <c r="C100" s="530" t="s">
        <v>762</v>
      </c>
      <c r="D100" s="498"/>
    </row>
    <row r="101" spans="1:4" ht="13.5" thickBot="1">
      <c r="A101" s="219" t="s">
        <v>1274</v>
      </c>
      <c r="B101" s="533">
        <v>25</v>
      </c>
      <c r="C101" s="530" t="s">
        <v>1270</v>
      </c>
      <c r="D101" s="531"/>
    </row>
    <row r="102" spans="1:4">
      <c r="B102" s="506"/>
      <c r="D102" s="498"/>
    </row>
    <row r="103" spans="1:4">
      <c r="A103" s="219" t="s">
        <v>1275</v>
      </c>
      <c r="B103" s="534">
        <f>B99*B100</f>
        <v>2</v>
      </c>
      <c r="C103" s="530" t="s">
        <v>1276</v>
      </c>
      <c r="D103" s="531"/>
    </row>
    <row r="104" spans="1:4">
      <c r="A104" s="219" t="s">
        <v>1277</v>
      </c>
      <c r="B104" s="499">
        <f>B103*B97/B101</f>
        <v>8</v>
      </c>
      <c r="C104" s="530" t="s">
        <v>1276</v>
      </c>
      <c r="D104" s="498"/>
    </row>
    <row r="105" spans="1:4">
      <c r="A105" s="219"/>
      <c r="B105" s="534"/>
      <c r="C105" s="530"/>
      <c r="D105" s="531"/>
    </row>
    <row r="106" spans="1:4">
      <c r="A106" s="219" t="s">
        <v>1278</v>
      </c>
      <c r="B106" s="534">
        <f>B99*SQRT($B$97/$B$101)</f>
        <v>4</v>
      </c>
      <c r="C106" s="530" t="s">
        <v>762</v>
      </c>
      <c r="D106" s="530"/>
    </row>
    <row r="107" spans="1:4">
      <c r="A107" s="219" t="s">
        <v>1279</v>
      </c>
      <c r="B107" s="534">
        <f>B100*SQRT($B$97/$B$101)</f>
        <v>2</v>
      </c>
      <c r="C107" s="530" t="s">
        <v>762</v>
      </c>
      <c r="D107" s="530"/>
    </row>
    <row r="108" spans="1:4">
      <c r="B108" s="534"/>
      <c r="C108" s="530"/>
      <c r="D108" s="530"/>
    </row>
    <row r="109" spans="1:4">
      <c r="A109" s="219" t="s">
        <v>1280</v>
      </c>
      <c r="B109" s="499">
        <f>B98*B106/B99</f>
        <v>8</v>
      </c>
      <c r="C109" s="530" t="s">
        <v>762</v>
      </c>
      <c r="D109" s="530"/>
    </row>
    <row r="110" spans="1:4">
      <c r="A110" s="219"/>
      <c r="B110" s="530"/>
      <c r="C110" s="530"/>
      <c r="D110" s="530"/>
    </row>
    <row r="111" spans="1:4">
      <c r="A111" s="219" t="s">
        <v>1281</v>
      </c>
      <c r="B111" s="500">
        <f>SQRT(B99^2+B100^2)</f>
        <v>2.2360679774997898</v>
      </c>
      <c r="C111" s="530" t="s">
        <v>762</v>
      </c>
      <c r="D111" s="530"/>
    </row>
    <row r="112" spans="1:4">
      <c r="A112" s="219" t="s">
        <v>1282</v>
      </c>
      <c r="B112" s="500">
        <f>SQRT(B106^2+B107^2)</f>
        <v>4.4721359549995796</v>
      </c>
      <c r="C112" s="530" t="s">
        <v>762</v>
      </c>
      <c r="D112" s="530"/>
    </row>
    <row r="113" spans="1:18">
      <c r="A113" s="501"/>
      <c r="B113" s="528"/>
      <c r="C113" s="528"/>
      <c r="D113" s="528"/>
      <c r="E113" s="512"/>
      <c r="F113" s="512"/>
      <c r="G113" s="512"/>
      <c r="H113" s="512"/>
      <c r="I113" s="512"/>
      <c r="J113" s="512"/>
      <c r="K113" s="512"/>
      <c r="L113" s="512"/>
      <c r="M113" s="512"/>
      <c r="N113" s="512"/>
      <c r="O113" s="512"/>
      <c r="P113" s="512"/>
      <c r="Q113" s="512"/>
      <c r="R113" s="512"/>
    </row>
    <row r="114" spans="1:18">
      <c r="A114" s="512"/>
      <c r="B114" s="512"/>
      <c r="C114" s="512"/>
      <c r="D114" s="512"/>
      <c r="E114" s="512"/>
      <c r="F114" s="512"/>
      <c r="G114" s="512"/>
      <c r="H114" s="512"/>
      <c r="I114" s="512"/>
      <c r="J114" s="512"/>
      <c r="K114" s="512"/>
      <c r="L114" s="512"/>
      <c r="M114" s="512"/>
      <c r="N114" s="512"/>
      <c r="O114" s="512"/>
      <c r="P114" s="512"/>
      <c r="Q114" s="512"/>
      <c r="R114" s="512"/>
    </row>
    <row r="115" spans="1:18">
      <c r="A115" s="512"/>
      <c r="B115" s="512"/>
      <c r="C115" s="512"/>
      <c r="D115" s="512"/>
      <c r="E115" s="512"/>
      <c r="F115" s="512"/>
      <c r="G115" s="512"/>
      <c r="H115" s="512"/>
      <c r="I115" s="512"/>
      <c r="J115" s="512"/>
      <c r="K115" s="512"/>
      <c r="L115" s="512"/>
      <c r="M115" s="512"/>
      <c r="N115" s="512"/>
      <c r="O115" s="512"/>
      <c r="P115" s="512"/>
      <c r="Q115" s="512"/>
      <c r="R115" s="512"/>
    </row>
    <row r="116" spans="1:18">
      <c r="A116" s="512"/>
      <c r="B116" s="512"/>
      <c r="C116" s="512"/>
      <c r="D116" s="512"/>
      <c r="E116" s="512"/>
      <c r="F116" s="512"/>
      <c r="G116" s="512"/>
      <c r="H116" s="512"/>
      <c r="I116" s="512"/>
      <c r="J116" s="512"/>
      <c r="K116" s="512"/>
      <c r="L116" s="512"/>
      <c r="M116" s="512"/>
      <c r="N116" s="512"/>
      <c r="O116" s="512"/>
      <c r="P116" s="512"/>
      <c r="Q116" s="512"/>
      <c r="R116" s="512"/>
    </row>
    <row r="117" spans="1:18">
      <c r="A117" s="512"/>
      <c r="B117" s="512"/>
      <c r="C117" s="512"/>
      <c r="D117" s="512"/>
      <c r="E117" s="512"/>
      <c r="F117" s="512"/>
      <c r="G117" s="512"/>
      <c r="H117" s="512"/>
      <c r="I117" s="512"/>
      <c r="J117" s="512"/>
      <c r="K117" s="512"/>
      <c r="L117" s="512"/>
      <c r="M117" s="512"/>
      <c r="N117" s="512"/>
      <c r="O117" s="512"/>
      <c r="P117" s="512"/>
      <c r="Q117" s="512"/>
      <c r="R117" s="512"/>
    </row>
    <row r="118" spans="1:18">
      <c r="A118" s="512"/>
      <c r="B118" s="512"/>
      <c r="C118" s="512"/>
      <c r="D118" s="512"/>
      <c r="E118" s="512"/>
      <c r="F118" s="512"/>
      <c r="G118" s="512"/>
      <c r="H118" s="512"/>
      <c r="I118" s="512"/>
      <c r="J118" s="512"/>
      <c r="K118" s="512"/>
      <c r="L118" s="512"/>
      <c r="M118" s="512"/>
      <c r="N118" s="512"/>
      <c r="O118" s="512"/>
      <c r="P118" s="512"/>
      <c r="Q118" s="512"/>
      <c r="R118" s="512"/>
    </row>
    <row r="119" spans="1:18">
      <c r="A119" s="512"/>
      <c r="B119" s="512"/>
      <c r="C119" s="512"/>
      <c r="D119" s="512"/>
      <c r="E119" s="512"/>
      <c r="F119" s="512"/>
      <c r="G119" s="512"/>
      <c r="H119" s="512"/>
      <c r="I119" s="512"/>
      <c r="J119" s="512"/>
      <c r="K119" s="512"/>
      <c r="L119" s="512"/>
      <c r="M119" s="512"/>
      <c r="N119" s="512"/>
      <c r="O119" s="512"/>
      <c r="P119" s="512"/>
      <c r="Q119" s="512"/>
      <c r="R119" s="512"/>
    </row>
    <row r="120" spans="1:18">
      <c r="A120" s="512"/>
      <c r="B120" s="512"/>
      <c r="C120" s="512"/>
      <c r="D120" s="512"/>
      <c r="E120" s="512"/>
      <c r="F120" s="512"/>
      <c r="G120" s="512"/>
      <c r="H120" s="512"/>
      <c r="I120" s="512"/>
      <c r="J120" s="512"/>
      <c r="K120" s="512"/>
      <c r="L120" s="512"/>
      <c r="M120" s="512"/>
      <c r="N120" s="512"/>
      <c r="O120" s="512"/>
      <c r="P120" s="512"/>
      <c r="Q120" s="512"/>
      <c r="R120" s="512"/>
    </row>
    <row r="121" spans="1:18">
      <c r="A121" s="512"/>
      <c r="B121" s="512"/>
      <c r="C121" s="512"/>
      <c r="D121" s="512"/>
      <c r="E121" s="512"/>
      <c r="F121" s="512"/>
      <c r="G121" s="512"/>
      <c r="H121" s="512"/>
      <c r="I121" s="512"/>
      <c r="J121" s="512"/>
      <c r="K121" s="512"/>
      <c r="L121" s="512"/>
      <c r="M121" s="512"/>
      <c r="N121" s="512"/>
      <c r="O121" s="512"/>
      <c r="P121" s="512"/>
      <c r="Q121" s="512"/>
      <c r="R121" s="512"/>
    </row>
    <row r="122" spans="1:18">
      <c r="A122" s="512"/>
      <c r="B122" s="512"/>
      <c r="C122" s="512"/>
      <c r="D122" s="512"/>
      <c r="E122" s="512"/>
      <c r="F122" s="512"/>
      <c r="G122" s="512"/>
      <c r="H122" s="512"/>
      <c r="I122" s="512"/>
      <c r="J122" s="512"/>
      <c r="K122" s="512"/>
      <c r="L122" s="512"/>
      <c r="M122" s="512"/>
      <c r="N122" s="512"/>
      <c r="O122" s="512"/>
      <c r="P122" s="512"/>
      <c r="Q122" s="512"/>
      <c r="R122" s="512"/>
    </row>
    <row r="123" spans="1:18">
      <c r="A123" s="518" t="s">
        <v>1283</v>
      </c>
    </row>
    <row r="124" spans="1:18">
      <c r="A124" s="518" t="s">
        <v>1284</v>
      </c>
    </row>
    <row r="126" spans="1:18">
      <c r="A126" s="518" t="s">
        <v>74</v>
      </c>
      <c r="B126" s="522">
        <v>100</v>
      </c>
      <c r="C126" s="518" t="s">
        <v>459</v>
      </c>
    </row>
    <row r="127" spans="1:18">
      <c r="A127" s="518" t="s">
        <v>1285</v>
      </c>
      <c r="B127" s="522">
        <v>38</v>
      </c>
      <c r="C127" s="518" t="s">
        <v>459</v>
      </c>
    </row>
    <row r="128" spans="1:18">
      <c r="A128" s="518" t="s">
        <v>1286</v>
      </c>
      <c r="B128" s="522">
        <v>3.5</v>
      </c>
      <c r="C128" s="518" t="s">
        <v>762</v>
      </c>
    </row>
    <row r="131" spans="1:18">
      <c r="A131" s="518" t="s">
        <v>1287</v>
      </c>
      <c r="B131" s="518">
        <f>B126-B127</f>
        <v>62</v>
      </c>
      <c r="C131" s="518" t="s">
        <v>459</v>
      </c>
      <c r="D131" s="280" t="s">
        <v>1288</v>
      </c>
      <c r="E131" s="280"/>
      <c r="F131" s="280"/>
      <c r="G131" s="280"/>
      <c r="H131" s="280"/>
      <c r="I131" s="280"/>
    </row>
    <row r="132" spans="1:18">
      <c r="D132" s="535" t="s">
        <v>525</v>
      </c>
      <c r="E132" s="280">
        <v>100</v>
      </c>
      <c r="F132" s="280"/>
      <c r="G132" s="280"/>
      <c r="H132" s="280"/>
      <c r="I132" s="280"/>
    </row>
    <row r="133" spans="1:18">
      <c r="A133" s="518" t="s">
        <v>1289</v>
      </c>
      <c r="B133" s="518">
        <f>B131/B126</f>
        <v>0.62</v>
      </c>
      <c r="D133" s="535" t="s">
        <v>1290</v>
      </c>
      <c r="E133" s="280">
        <v>62</v>
      </c>
      <c r="F133" s="280"/>
      <c r="G133" s="280"/>
      <c r="H133" s="280"/>
      <c r="I133" s="280"/>
    </row>
    <row r="134" spans="1:18">
      <c r="D134" s="535" t="s">
        <v>1291</v>
      </c>
      <c r="E134" s="280">
        <f>E133/E132</f>
        <v>0.62</v>
      </c>
      <c r="F134" s="280"/>
      <c r="G134" s="280" t="s">
        <v>1292</v>
      </c>
      <c r="H134" s="280"/>
      <c r="I134" s="280"/>
    </row>
    <row r="135" spans="1:18">
      <c r="A135" s="518" t="s">
        <v>1293</v>
      </c>
      <c r="B135" s="525">
        <f>1/B133</f>
        <v>1.6129032258064517</v>
      </c>
      <c r="D135" s="536" t="s">
        <v>1294</v>
      </c>
      <c r="E135" s="280"/>
      <c r="F135" s="280"/>
      <c r="G135" s="280"/>
      <c r="H135" s="280"/>
      <c r="I135" s="280"/>
    </row>
    <row r="136" spans="1:18">
      <c r="D136" s="536" t="s">
        <v>1295</v>
      </c>
      <c r="E136" s="280"/>
      <c r="F136" s="280"/>
      <c r="G136" s="280"/>
      <c r="H136" s="280"/>
      <c r="I136" s="280"/>
    </row>
    <row r="137" spans="1:18">
      <c r="A137" s="518" t="s">
        <v>1296</v>
      </c>
      <c r="B137" s="525">
        <f>SQRT(B135)</f>
        <v>1.270001270001905</v>
      </c>
      <c r="D137" s="276" t="s">
        <v>1297</v>
      </c>
      <c r="E137" s="280"/>
      <c r="F137" s="280"/>
      <c r="G137" s="280"/>
      <c r="H137" s="280"/>
      <c r="I137" s="280"/>
    </row>
    <row r="138" spans="1:18">
      <c r="D138" s="537"/>
      <c r="E138" s="538"/>
      <c r="F138" s="538"/>
      <c r="G138" s="538"/>
      <c r="H138" s="538"/>
      <c r="I138" s="538"/>
    </row>
    <row r="139" spans="1:18">
      <c r="A139" s="518" t="s">
        <v>1298</v>
      </c>
      <c r="B139" s="539">
        <f>B128*B137</f>
        <v>4.445004445006667</v>
      </c>
      <c r="C139" s="518" t="s">
        <v>762</v>
      </c>
      <c r="D139" s="536" t="s">
        <v>1299</v>
      </c>
      <c r="E139" s="280"/>
      <c r="F139" s="280"/>
      <c r="G139" s="280"/>
      <c r="H139" s="280"/>
      <c r="I139" s="280"/>
    </row>
    <row r="140" spans="1:18">
      <c r="D140" s="507"/>
    </row>
    <row r="141" spans="1:18">
      <c r="A141" s="298" t="str">
        <f>"Antwort: Die neue Projektionsweite ist "&amp;B139&amp;" Meter"</f>
        <v>Antwort: Die neue Projektionsweite ist 4,44500444500667 Meter</v>
      </c>
      <c r="D141" s="507" t="s">
        <v>1311</v>
      </c>
    </row>
    <row r="142" spans="1:18">
      <c r="D142" s="507"/>
    </row>
    <row r="143" spans="1:18">
      <c r="A143" s="298" t="str">
        <f>"Antwort: Die neue Projektionsweite ist "&amp;ROUND(B139,2)&amp;" Meter"</f>
        <v>Antwort: Die neue Projektionsweite ist 4,45 Meter</v>
      </c>
      <c r="D143" s="507" t="s">
        <v>1312</v>
      </c>
    </row>
    <row r="144" spans="1:18">
      <c r="A144" s="512"/>
      <c r="B144" s="512"/>
      <c r="C144" s="512"/>
      <c r="D144" s="512"/>
      <c r="E144" s="512"/>
      <c r="F144" s="512"/>
      <c r="G144" s="512"/>
      <c r="H144" s="512"/>
      <c r="I144" s="512"/>
      <c r="J144" s="512"/>
      <c r="K144" s="512"/>
      <c r="L144" s="512"/>
      <c r="M144" s="512"/>
      <c r="N144" s="512"/>
      <c r="O144" s="512"/>
      <c r="P144" s="512"/>
      <c r="Q144" s="512"/>
      <c r="R144" s="512"/>
    </row>
    <row r="145" spans="1:18">
      <c r="A145" s="512"/>
      <c r="B145" s="512"/>
      <c r="C145" s="512"/>
      <c r="D145" s="512"/>
      <c r="E145" s="512"/>
      <c r="F145" s="512"/>
      <c r="G145" s="512"/>
      <c r="H145" s="512"/>
      <c r="I145" s="512"/>
      <c r="J145" s="512"/>
      <c r="K145" s="512"/>
      <c r="L145" s="512"/>
      <c r="M145" s="512"/>
      <c r="N145" s="512"/>
      <c r="O145" s="512"/>
      <c r="P145" s="512"/>
      <c r="Q145" s="512"/>
      <c r="R145" s="512"/>
    </row>
    <row r="146" spans="1:18">
      <c r="A146" s="512"/>
      <c r="B146" s="512"/>
      <c r="C146" s="512"/>
      <c r="D146" s="512"/>
      <c r="E146" s="512"/>
      <c r="F146" s="512"/>
      <c r="G146" s="512"/>
      <c r="H146" s="512"/>
      <c r="I146" s="512"/>
      <c r="J146" s="512"/>
      <c r="K146" s="512"/>
      <c r="L146" s="512"/>
      <c r="M146" s="512"/>
      <c r="N146" s="512"/>
      <c r="O146" s="512"/>
      <c r="P146" s="512"/>
      <c r="Q146" s="512"/>
      <c r="R146" s="512"/>
    </row>
    <row r="147" spans="1:18">
      <c r="A147" s="512"/>
      <c r="B147" s="512"/>
      <c r="C147" s="512"/>
      <c r="D147" s="512"/>
      <c r="E147" s="512"/>
      <c r="F147" s="512"/>
      <c r="G147" s="512"/>
      <c r="H147" s="512"/>
      <c r="I147" s="512"/>
      <c r="J147" s="512"/>
      <c r="K147" s="512"/>
      <c r="L147" s="512"/>
      <c r="M147" s="512"/>
      <c r="N147" s="512"/>
      <c r="O147" s="512"/>
      <c r="P147" s="512"/>
      <c r="Q147" s="512"/>
      <c r="R147" s="512"/>
    </row>
    <row r="148" spans="1:18">
      <c r="A148" s="512"/>
      <c r="B148" s="512"/>
      <c r="C148" s="512"/>
      <c r="D148" s="512"/>
      <c r="E148" s="512"/>
      <c r="F148" s="512"/>
      <c r="G148" s="512"/>
      <c r="H148" s="512"/>
      <c r="I148" s="512"/>
      <c r="J148" s="512"/>
      <c r="K148" s="512"/>
      <c r="L148" s="512"/>
      <c r="M148" s="512"/>
      <c r="N148" s="512"/>
      <c r="O148" s="512"/>
      <c r="P148" s="512"/>
      <c r="Q148" s="512"/>
      <c r="R148" s="512"/>
    </row>
    <row r="149" spans="1:18">
      <c r="A149" s="512"/>
      <c r="B149" s="512"/>
      <c r="C149" s="512"/>
      <c r="D149" s="512"/>
      <c r="E149" s="512"/>
      <c r="F149" s="512"/>
      <c r="G149" s="512"/>
      <c r="H149" s="512"/>
      <c r="I149" s="512"/>
      <c r="J149" s="512"/>
      <c r="K149" s="512"/>
      <c r="L149" s="512"/>
      <c r="M149" s="512"/>
      <c r="N149" s="512"/>
      <c r="O149" s="512"/>
      <c r="P149" s="512"/>
      <c r="Q149" s="512"/>
      <c r="R149" s="512"/>
    </row>
    <row r="150" spans="1:18">
      <c r="A150" s="512"/>
      <c r="B150" s="512"/>
      <c r="C150" s="512"/>
      <c r="D150" s="512"/>
      <c r="E150" s="512"/>
      <c r="F150" s="512"/>
      <c r="G150" s="512"/>
      <c r="H150" s="512"/>
      <c r="I150" s="512"/>
      <c r="J150" s="512"/>
      <c r="K150" s="512"/>
      <c r="L150" s="512"/>
      <c r="M150" s="512"/>
      <c r="N150" s="512"/>
      <c r="O150" s="512"/>
      <c r="P150" s="512"/>
      <c r="Q150" s="512"/>
      <c r="R150" s="512"/>
    </row>
    <row r="151" spans="1:18">
      <c r="A151" s="512"/>
      <c r="B151" s="512"/>
      <c r="C151" s="512"/>
      <c r="D151" s="512"/>
      <c r="E151" s="512"/>
      <c r="F151" s="512"/>
      <c r="G151" s="512"/>
      <c r="H151" s="512"/>
      <c r="I151" s="512"/>
      <c r="J151" s="512"/>
      <c r="K151" s="512"/>
      <c r="L151" s="512"/>
      <c r="M151" s="512"/>
      <c r="N151" s="512"/>
      <c r="O151" s="512"/>
      <c r="P151" s="512"/>
      <c r="Q151" s="512"/>
      <c r="R151" s="512"/>
    </row>
    <row r="152" spans="1:18">
      <c r="A152" s="512"/>
      <c r="B152" s="512"/>
      <c r="C152" s="512"/>
      <c r="D152" s="512"/>
      <c r="E152" s="512"/>
      <c r="F152" s="512"/>
      <c r="G152" s="512"/>
      <c r="H152" s="512"/>
      <c r="I152" s="512"/>
      <c r="J152" s="512"/>
      <c r="K152" s="512"/>
      <c r="L152" s="512"/>
      <c r="M152" s="512"/>
      <c r="N152" s="512"/>
      <c r="O152" s="512"/>
      <c r="P152" s="512"/>
      <c r="Q152" s="512"/>
      <c r="R152" s="512"/>
    </row>
    <row r="153" spans="1:18">
      <c r="A153" s="512"/>
      <c r="B153" s="512"/>
      <c r="C153" s="512"/>
      <c r="D153" s="512"/>
      <c r="E153" s="512"/>
      <c r="F153" s="512"/>
      <c r="G153" s="512"/>
      <c r="H153" s="512"/>
      <c r="I153" s="512"/>
      <c r="J153" s="512"/>
      <c r="K153" s="512"/>
      <c r="L153" s="512"/>
      <c r="M153" s="512"/>
      <c r="N153" s="512"/>
      <c r="O153" s="512"/>
      <c r="P153" s="512"/>
      <c r="Q153" s="512"/>
      <c r="R153" s="512"/>
    </row>
    <row r="154" spans="1:18">
      <c r="A154" s="512"/>
      <c r="B154" s="512"/>
      <c r="C154" s="512"/>
      <c r="D154" s="512"/>
      <c r="E154" s="512"/>
      <c r="F154" s="512"/>
      <c r="G154" s="512"/>
      <c r="H154" s="512"/>
      <c r="I154" s="512"/>
      <c r="J154" s="512"/>
      <c r="K154" s="512"/>
      <c r="L154" s="512"/>
      <c r="M154" s="512"/>
      <c r="N154" s="512"/>
      <c r="O154" s="512"/>
      <c r="P154" s="512"/>
      <c r="Q154" s="512"/>
      <c r="R154" s="512"/>
    </row>
    <row r="155" spans="1:18">
      <c r="A155" s="512"/>
      <c r="B155" s="512"/>
      <c r="C155" s="512"/>
      <c r="D155" s="512"/>
      <c r="E155" s="512"/>
      <c r="F155" s="512"/>
      <c r="G155" s="512"/>
      <c r="H155" s="512"/>
      <c r="I155" s="512"/>
      <c r="J155" s="512"/>
      <c r="K155" s="512"/>
      <c r="L155" s="512"/>
      <c r="M155" s="512"/>
      <c r="N155" s="512"/>
      <c r="O155" s="512"/>
      <c r="P155" s="512"/>
      <c r="Q155" s="512"/>
      <c r="R155" s="512"/>
    </row>
    <row r="156" spans="1:18">
      <c r="A156" s="513" t="s">
        <v>1300</v>
      </c>
      <c r="B156" s="513"/>
      <c r="C156" s="513"/>
      <c r="D156" s="513"/>
      <c r="E156" s="513"/>
      <c r="F156" s="513"/>
      <c r="G156" s="513"/>
      <c r="H156" s="513"/>
      <c r="I156" s="513"/>
    </row>
    <row r="157" spans="1:18">
      <c r="A157" s="513" t="s">
        <v>1301</v>
      </c>
      <c r="B157" s="513"/>
      <c r="C157" s="513"/>
      <c r="D157" s="513"/>
      <c r="E157" s="513"/>
      <c r="F157" s="513"/>
      <c r="G157" s="513"/>
      <c r="H157" s="513"/>
      <c r="I157" s="513"/>
    </row>
    <row r="158" spans="1:18">
      <c r="A158" s="513" t="s">
        <v>1302</v>
      </c>
      <c r="B158" s="513"/>
      <c r="C158" s="513"/>
      <c r="D158" s="513"/>
      <c r="E158" s="513"/>
      <c r="F158" s="513"/>
      <c r="G158" s="513"/>
      <c r="H158" s="513"/>
      <c r="I158" s="513"/>
    </row>
    <row r="159" spans="1:18">
      <c r="A159" s="513"/>
      <c r="B159" s="513"/>
      <c r="C159" s="513"/>
      <c r="D159" s="513"/>
      <c r="E159" s="513"/>
      <c r="F159" s="513"/>
      <c r="G159" s="513"/>
      <c r="H159" s="513"/>
      <c r="I159" s="513"/>
    </row>
    <row r="161" spans="1:18">
      <c r="A161" s="513" t="s">
        <v>1303</v>
      </c>
      <c r="B161" s="540">
        <v>16</v>
      </c>
      <c r="C161" s="518" t="s">
        <v>853</v>
      </c>
    </row>
    <row r="162" spans="1:18">
      <c r="A162" s="513" t="s">
        <v>1304</v>
      </c>
      <c r="B162" s="540">
        <v>34</v>
      </c>
      <c r="C162" s="518" t="s">
        <v>853</v>
      </c>
    </row>
    <row r="163" spans="1:18">
      <c r="A163" s="518" t="s">
        <v>1305</v>
      </c>
      <c r="B163" s="540">
        <v>78</v>
      </c>
      <c r="C163" s="518" t="s">
        <v>212</v>
      </c>
    </row>
    <row r="165" spans="1:18">
      <c r="A165" s="518" t="s">
        <v>1306</v>
      </c>
      <c r="B165" s="526">
        <f>B161/B162</f>
        <v>0.47058823529411764</v>
      </c>
      <c r="C165" s="518" t="s">
        <v>1314</v>
      </c>
      <c r="D165" s="518" t="s">
        <v>1307</v>
      </c>
    </row>
    <row r="166" spans="1:18">
      <c r="A166" s="518" t="s">
        <v>1296</v>
      </c>
      <c r="B166" s="526">
        <f>SQRT(B165)</f>
        <v>0.68599434057003539</v>
      </c>
      <c r="C166" s="518" t="s">
        <v>1313</v>
      </c>
      <c r="D166" s="518" t="s">
        <v>1308</v>
      </c>
    </row>
    <row r="168" spans="1:18">
      <c r="A168" s="518" t="s">
        <v>1309</v>
      </c>
      <c r="B168" s="525">
        <f>B163*B166</f>
        <v>53.507558564462762</v>
      </c>
      <c r="C168" s="518" t="s">
        <v>1315</v>
      </c>
    </row>
    <row r="171" spans="1:18">
      <c r="A171" s="518" t="str">
        <f>"Anwort: Der neue Projektionsabstand ist "&amp;ROUND(B168,2)&amp;" cm."</f>
        <v>Anwort: Der neue Projektionsabstand ist 53,51 cm.</v>
      </c>
      <c r="C171" s="518" t="s">
        <v>1310</v>
      </c>
    </row>
    <row r="172" spans="1:18">
      <c r="A172" s="512"/>
      <c r="B172" s="512"/>
      <c r="C172" s="512"/>
      <c r="D172" s="512"/>
      <c r="E172" s="512"/>
      <c r="F172" s="512"/>
      <c r="G172" s="512"/>
      <c r="H172" s="512"/>
      <c r="I172" s="512"/>
      <c r="J172" s="512"/>
      <c r="K172" s="512"/>
      <c r="L172" s="512"/>
      <c r="M172" s="512"/>
      <c r="N172" s="512"/>
      <c r="O172" s="512"/>
      <c r="P172" s="512"/>
      <c r="Q172" s="512"/>
      <c r="R172" s="512"/>
    </row>
    <row r="173" spans="1:18">
      <c r="A173" s="512"/>
      <c r="B173" s="512"/>
      <c r="C173" s="512"/>
      <c r="D173" s="512"/>
      <c r="E173" s="512"/>
      <c r="F173" s="512"/>
      <c r="G173" s="512"/>
      <c r="H173" s="512"/>
      <c r="I173" s="512"/>
      <c r="J173" s="512"/>
      <c r="K173" s="512"/>
      <c r="L173" s="512"/>
      <c r="M173" s="512"/>
      <c r="N173" s="512"/>
      <c r="O173" s="512"/>
      <c r="P173" s="512"/>
      <c r="Q173" s="512"/>
      <c r="R173" s="512"/>
    </row>
    <row r="174" spans="1:18">
      <c r="F174" s="512"/>
      <c r="G174" s="512"/>
      <c r="H174" s="512"/>
      <c r="I174" s="512"/>
      <c r="J174" s="512"/>
      <c r="K174" s="512"/>
      <c r="L174" s="512"/>
      <c r="M174" s="512"/>
      <c r="N174" s="512"/>
      <c r="O174" s="512"/>
      <c r="P174" s="512"/>
      <c r="Q174" s="512"/>
      <c r="R174" s="512"/>
    </row>
    <row r="175" spans="1:18">
      <c r="F175" s="512"/>
      <c r="G175" s="512"/>
      <c r="H175" s="512"/>
      <c r="I175" s="512"/>
      <c r="J175" s="512"/>
      <c r="K175" s="512"/>
      <c r="L175" s="512"/>
      <c r="M175" s="512"/>
      <c r="N175" s="512"/>
      <c r="O175" s="512"/>
      <c r="P175" s="512"/>
      <c r="Q175" s="512"/>
      <c r="R175" s="512"/>
    </row>
    <row r="176" spans="1:18">
      <c r="A176" s="513" t="s">
        <v>1477</v>
      </c>
      <c r="H176" s="512"/>
      <c r="I176" s="512"/>
      <c r="J176" s="512"/>
      <c r="K176" s="512"/>
      <c r="L176" s="512"/>
      <c r="M176" s="512"/>
      <c r="N176" s="512"/>
      <c r="O176" s="512"/>
      <c r="P176" s="512"/>
      <c r="Q176" s="512"/>
      <c r="R176" s="512"/>
    </row>
    <row r="177" spans="1:18">
      <c r="A177" s="513" t="s">
        <v>1478</v>
      </c>
      <c r="H177" s="512"/>
      <c r="I177" s="512"/>
      <c r="J177" s="512"/>
      <c r="K177" s="512"/>
      <c r="L177" s="512"/>
      <c r="M177" s="512"/>
      <c r="N177" s="512"/>
      <c r="O177" s="512"/>
      <c r="P177" s="512"/>
      <c r="Q177" s="512"/>
      <c r="R177" s="512"/>
    </row>
    <row r="178" spans="1:18">
      <c r="A178" s="513" t="s">
        <v>1479</v>
      </c>
      <c r="H178" s="512"/>
      <c r="I178" s="512"/>
      <c r="J178" s="512"/>
      <c r="K178" s="512"/>
      <c r="L178" s="512"/>
      <c r="M178" s="512"/>
      <c r="N178" s="512"/>
      <c r="O178" s="512"/>
      <c r="P178" s="512"/>
      <c r="Q178" s="512"/>
      <c r="R178" s="512"/>
    </row>
    <row r="179" spans="1:18">
      <c r="A179" s="513" t="s">
        <v>1480</v>
      </c>
    </row>
    <row r="180" spans="1:18">
      <c r="A180" s="513" t="s">
        <v>1481</v>
      </c>
    </row>
    <row r="182" spans="1:18">
      <c r="A182" s="518" t="s">
        <v>71</v>
      </c>
      <c r="B182" s="582">
        <v>60</v>
      </c>
      <c r="C182" s="518" t="s">
        <v>212</v>
      </c>
    </row>
    <row r="183" spans="1:18">
      <c r="A183" s="518" t="s">
        <v>77</v>
      </c>
      <c r="B183" s="582">
        <v>50</v>
      </c>
      <c r="C183" s="518" t="s">
        <v>212</v>
      </c>
    </row>
    <row r="184" spans="1:18">
      <c r="A184" s="518" t="s">
        <v>1305</v>
      </c>
      <c r="B184" s="582">
        <v>135</v>
      </c>
      <c r="C184" s="518" t="s">
        <v>212</v>
      </c>
    </row>
    <row r="185" spans="1:18">
      <c r="A185" s="518" t="s">
        <v>1354</v>
      </c>
      <c r="B185" s="582">
        <v>73</v>
      </c>
      <c r="C185" s="518" t="s">
        <v>851</v>
      </c>
    </row>
    <row r="186" spans="1:18">
      <c r="A186" s="518" t="s">
        <v>1337</v>
      </c>
      <c r="B186" s="582">
        <v>95</v>
      </c>
      <c r="C186" s="518" t="s">
        <v>212</v>
      </c>
    </row>
    <row r="188" spans="1:18">
      <c r="A188" s="518" t="s">
        <v>1482</v>
      </c>
      <c r="B188" s="557">
        <f>B186/B184</f>
        <v>0.70370370370370372</v>
      </c>
    </row>
    <row r="189" spans="1:18">
      <c r="A189" s="518" t="s">
        <v>1483</v>
      </c>
      <c r="B189" s="557">
        <f>B188*100</f>
        <v>70.370370370370367</v>
      </c>
      <c r="C189" s="518" t="s">
        <v>1270</v>
      </c>
      <c r="D189" s="518" t="s">
        <v>1484</v>
      </c>
    </row>
    <row r="190" spans="1:18">
      <c r="A190" s="518" t="s">
        <v>84</v>
      </c>
      <c r="B190" s="557">
        <f>B182*B188</f>
        <v>42.222222222222221</v>
      </c>
      <c r="C190" s="518" t="s">
        <v>212</v>
      </c>
    </row>
    <row r="191" spans="1:18">
      <c r="A191" s="518" t="s">
        <v>86</v>
      </c>
      <c r="B191" s="557">
        <f>B183*B188</f>
        <v>35.185185185185183</v>
      </c>
      <c r="C191" s="518" t="s">
        <v>212</v>
      </c>
    </row>
    <row r="192" spans="1:18">
      <c r="A192" s="518" t="s">
        <v>1340</v>
      </c>
      <c r="B192" s="557">
        <f>B190*B191</f>
        <v>1485.5967078189299</v>
      </c>
      <c r="C192" s="518" t="s">
        <v>215</v>
      </c>
    </row>
    <row r="193" spans="1:18">
      <c r="A193" s="518" t="s">
        <v>1338</v>
      </c>
      <c r="B193" s="557">
        <f>B182*B183</f>
        <v>3000</v>
      </c>
      <c r="C193" s="518" t="s">
        <v>215</v>
      </c>
    </row>
    <row r="194" spans="1:18">
      <c r="A194" s="518" t="s">
        <v>1485</v>
      </c>
      <c r="B194" s="557">
        <f>B192/B193</f>
        <v>0.49519890260630994</v>
      </c>
    </row>
    <row r="195" spans="1:18">
      <c r="A195" s="518" t="s">
        <v>1486</v>
      </c>
      <c r="B195" s="557">
        <f>B188^2</f>
        <v>0.49519890260631005</v>
      </c>
    </row>
    <row r="196" spans="1:18">
      <c r="A196" s="518" t="s">
        <v>1487</v>
      </c>
      <c r="B196" s="557">
        <f>1/B194</f>
        <v>2.019390581717452</v>
      </c>
    </row>
    <row r="197" spans="1:18">
      <c r="A197" s="518" t="s">
        <v>1488</v>
      </c>
      <c r="B197" s="557">
        <f>1/B196</f>
        <v>0.49519890260630989</v>
      </c>
    </row>
    <row r="198" spans="1:18">
      <c r="A198" s="518" t="s">
        <v>1361</v>
      </c>
      <c r="B198" s="557">
        <f>B185*B197</f>
        <v>36.149519890260621</v>
      </c>
      <c r="C198" s="518" t="s">
        <v>851</v>
      </c>
    </row>
    <row r="200" spans="1:18">
      <c r="A200" s="518" t="str">
        <f>"Die neue Bildgröße ist " &amp; ROUND(B190,2) &amp; " cm mal " &amp; ROUND(B191,2) &amp; " cm."</f>
        <v>Die neue Bildgröße ist 42,22 cm mal 35,19 cm.</v>
      </c>
    </row>
    <row r="201" spans="1:18">
      <c r="A201" s="518" t="str">
        <f>"Die neue Belichtungszeit ist " &amp; ROUND(B198,2) &amp; " Sekunden."</f>
        <v>Die neue Belichtungszeit ist 36,15 Sekunden.</v>
      </c>
    </row>
    <row r="202" spans="1:18">
      <c r="H202" s="512"/>
      <c r="I202" s="512"/>
      <c r="J202" s="512"/>
      <c r="K202" s="512"/>
      <c r="L202" s="512"/>
      <c r="M202" s="512"/>
      <c r="N202" s="512"/>
      <c r="O202" s="512"/>
      <c r="P202" s="512"/>
      <c r="Q202" s="512"/>
      <c r="R202" s="512"/>
    </row>
    <row r="203" spans="1:18">
      <c r="H203" s="512"/>
      <c r="I203" s="512"/>
      <c r="J203" s="512"/>
      <c r="K203" s="512"/>
      <c r="L203" s="512"/>
      <c r="M203" s="512"/>
      <c r="N203" s="512"/>
      <c r="O203" s="512"/>
      <c r="P203" s="512"/>
      <c r="Q203" s="512"/>
      <c r="R203" s="512"/>
    </row>
    <row r="204" spans="1:18">
      <c r="A204" s="512"/>
      <c r="B204" s="512"/>
      <c r="C204" s="512"/>
      <c r="D204" s="512"/>
      <c r="E204" s="512"/>
      <c r="F204" s="512"/>
      <c r="G204" s="512"/>
      <c r="H204" s="512"/>
      <c r="I204" s="512"/>
      <c r="J204" s="512"/>
      <c r="K204" s="512"/>
      <c r="L204" s="512"/>
      <c r="M204" s="512"/>
      <c r="N204" s="512"/>
      <c r="O204" s="512"/>
      <c r="P204" s="512"/>
      <c r="Q204" s="512"/>
      <c r="R204" s="512"/>
    </row>
    <row r="205" spans="1:18">
      <c r="A205" s="512"/>
      <c r="B205" s="512"/>
      <c r="C205" s="512"/>
      <c r="D205" s="512"/>
      <c r="E205" s="512"/>
      <c r="F205" s="512"/>
      <c r="G205" s="512"/>
      <c r="H205" s="512"/>
      <c r="I205" s="512"/>
      <c r="J205" s="512"/>
      <c r="K205" s="512"/>
      <c r="L205" s="512"/>
      <c r="M205" s="512"/>
      <c r="N205" s="512"/>
      <c r="O205" s="512"/>
      <c r="P205" s="512"/>
      <c r="Q205" s="512"/>
      <c r="R205" s="512"/>
    </row>
    <row r="206" spans="1:18">
      <c r="A206" s="512"/>
      <c r="B206" s="512"/>
      <c r="C206" s="512"/>
      <c r="D206" s="512"/>
      <c r="E206" s="512"/>
      <c r="F206" s="512"/>
      <c r="G206" s="512"/>
      <c r="H206" s="512"/>
      <c r="I206" s="512"/>
      <c r="J206" s="512"/>
      <c r="K206" s="512"/>
      <c r="L206" s="512"/>
      <c r="M206" s="512"/>
      <c r="N206" s="512"/>
      <c r="O206" s="512"/>
      <c r="P206" s="512"/>
      <c r="Q206" s="512"/>
      <c r="R206" s="512"/>
    </row>
    <row r="207" spans="1:18">
      <c r="A207" s="512"/>
      <c r="B207" s="512"/>
      <c r="C207" s="512"/>
      <c r="D207" s="512"/>
      <c r="E207" s="512"/>
      <c r="F207" s="512"/>
      <c r="G207" s="512"/>
      <c r="H207" s="512"/>
      <c r="I207" s="512"/>
      <c r="J207" s="512"/>
      <c r="K207" s="512"/>
      <c r="L207" s="512"/>
      <c r="M207" s="512"/>
      <c r="N207" s="512"/>
      <c r="O207" s="512"/>
      <c r="P207" s="512"/>
      <c r="Q207" s="512"/>
      <c r="R207" s="512"/>
    </row>
    <row r="208" spans="1:18">
      <c r="A208" s="512" t="s">
        <v>1524</v>
      </c>
      <c r="B208" s="512"/>
      <c r="C208" s="512"/>
      <c r="D208" s="512"/>
      <c r="E208" s="512"/>
      <c r="F208" s="512"/>
      <c r="G208" s="512"/>
      <c r="H208" s="512"/>
      <c r="I208" s="512"/>
      <c r="J208" s="512"/>
      <c r="K208" s="512"/>
      <c r="L208" s="512"/>
      <c r="M208" s="512"/>
      <c r="N208" s="512"/>
      <c r="O208" s="512"/>
      <c r="P208" s="512"/>
      <c r="Q208" s="512"/>
      <c r="R208" s="512"/>
    </row>
    <row r="209" spans="1:18">
      <c r="A209" s="512"/>
      <c r="B209" s="512"/>
      <c r="C209" s="512"/>
      <c r="D209" s="512"/>
      <c r="E209" s="512"/>
      <c r="F209" s="512"/>
      <c r="G209" s="512"/>
      <c r="H209" s="512"/>
      <c r="I209" s="512"/>
      <c r="J209" s="512"/>
      <c r="K209" s="512"/>
      <c r="L209" s="512"/>
      <c r="M209" s="512"/>
      <c r="N209" s="512"/>
      <c r="O209" s="512"/>
      <c r="P209" s="512"/>
      <c r="Q209" s="512"/>
      <c r="R209" s="512"/>
    </row>
    <row r="210" spans="1:18">
      <c r="A210" s="349"/>
      <c r="B210" s="512"/>
      <c r="C210" s="512"/>
      <c r="D210" s="512"/>
      <c r="E210" s="512"/>
      <c r="F210" s="512"/>
      <c r="G210" s="512"/>
      <c r="H210" s="512"/>
      <c r="I210" s="512"/>
      <c r="J210" s="512"/>
      <c r="K210" s="512"/>
      <c r="L210" s="512"/>
      <c r="M210" s="512"/>
      <c r="N210" s="512"/>
      <c r="O210" s="512"/>
      <c r="P210" s="512"/>
      <c r="Q210" s="512"/>
      <c r="R210" s="512"/>
    </row>
    <row r="211" spans="1:18">
      <c r="A211" s="349" t="s">
        <v>1305</v>
      </c>
      <c r="B211" s="590">
        <v>220</v>
      </c>
      <c r="C211" s="512" t="s">
        <v>212</v>
      </c>
      <c r="D211" s="512"/>
      <c r="E211" s="512"/>
      <c r="F211" s="512"/>
      <c r="G211" s="512"/>
      <c r="H211" s="512"/>
      <c r="I211" s="512"/>
      <c r="J211" s="512"/>
      <c r="K211" s="512"/>
      <c r="L211" s="512"/>
      <c r="M211" s="512"/>
      <c r="N211" s="512"/>
      <c r="O211" s="512"/>
      <c r="P211" s="512"/>
      <c r="Q211" s="512"/>
      <c r="R211" s="512"/>
    </row>
    <row r="212" spans="1:18">
      <c r="A212" s="349" t="s">
        <v>1337</v>
      </c>
      <c r="B212" s="590">
        <v>570</v>
      </c>
      <c r="C212" s="512" t="s">
        <v>212</v>
      </c>
      <c r="D212" s="512"/>
      <c r="E212" s="512"/>
      <c r="F212" s="512"/>
      <c r="G212" s="512"/>
      <c r="H212" s="512"/>
      <c r="I212" s="512"/>
      <c r="J212" s="512"/>
      <c r="K212" s="512"/>
      <c r="L212" s="512"/>
    </row>
    <row r="213" spans="1:18">
      <c r="A213" s="349"/>
      <c r="B213" s="512"/>
      <c r="C213" s="512"/>
      <c r="D213" s="512"/>
      <c r="E213" s="512"/>
      <c r="F213" s="512"/>
      <c r="G213" s="512"/>
      <c r="H213" s="512"/>
      <c r="I213" s="512"/>
      <c r="J213" s="512"/>
      <c r="K213" s="512"/>
      <c r="L213" s="512"/>
    </row>
    <row r="214" spans="1:18">
      <c r="A214" s="349" t="s">
        <v>71</v>
      </c>
      <c r="B214" s="590">
        <v>200</v>
      </c>
      <c r="C214" s="512" t="s">
        <v>212</v>
      </c>
      <c r="D214" s="512"/>
      <c r="E214" s="512"/>
      <c r="F214" s="512"/>
      <c r="G214" s="512"/>
      <c r="H214" s="512"/>
      <c r="I214" s="512"/>
      <c r="J214" s="512"/>
      <c r="K214" s="512"/>
      <c r="L214" s="512"/>
    </row>
    <row r="215" spans="1:18">
      <c r="A215" s="349" t="s">
        <v>77</v>
      </c>
      <c r="B215" s="590">
        <v>120</v>
      </c>
      <c r="C215" s="512" t="s">
        <v>212</v>
      </c>
      <c r="D215" s="512"/>
      <c r="E215" s="512"/>
      <c r="F215" s="512"/>
      <c r="G215" s="512"/>
      <c r="H215" s="512"/>
      <c r="I215" s="512"/>
      <c r="J215" s="512"/>
      <c r="K215" s="512"/>
      <c r="L215" s="512"/>
    </row>
    <row r="216" spans="1:18">
      <c r="A216" s="349"/>
      <c r="B216" s="512"/>
      <c r="C216" s="512"/>
      <c r="D216" s="512"/>
      <c r="E216" s="512"/>
      <c r="F216" s="512"/>
      <c r="G216" s="512"/>
      <c r="H216" s="512"/>
      <c r="I216" s="512"/>
      <c r="J216" s="512"/>
      <c r="K216" s="512"/>
      <c r="L216" s="512"/>
    </row>
    <row r="217" spans="1:18">
      <c r="A217" s="349" t="s">
        <v>1338</v>
      </c>
      <c r="B217" s="512">
        <f>B214*B215</f>
        <v>24000</v>
      </c>
      <c r="C217" s="512" t="s">
        <v>215</v>
      </c>
      <c r="D217" s="512"/>
      <c r="E217" s="512"/>
      <c r="F217" s="512"/>
      <c r="G217" s="512"/>
      <c r="H217" s="512"/>
      <c r="I217" s="512"/>
      <c r="J217" s="512"/>
      <c r="K217" s="512"/>
      <c r="L217" s="512"/>
    </row>
    <row r="218" spans="1:18">
      <c r="A218" s="349"/>
      <c r="B218" s="512"/>
      <c r="C218" s="512"/>
      <c r="D218" s="512"/>
      <c r="E218" s="512"/>
      <c r="F218" s="512"/>
      <c r="G218" s="512"/>
      <c r="H218" s="512"/>
      <c r="I218" s="512"/>
      <c r="J218" s="512"/>
      <c r="K218" s="512"/>
      <c r="L218" s="512"/>
    </row>
    <row r="219" spans="1:18">
      <c r="A219" s="349" t="s">
        <v>1339</v>
      </c>
      <c r="B219" s="587">
        <f>B212/B211</f>
        <v>2.5909090909090908</v>
      </c>
      <c r="C219" s="512"/>
      <c r="D219" s="512"/>
      <c r="E219" s="512"/>
      <c r="F219" s="512"/>
      <c r="G219" s="512"/>
      <c r="H219" s="512"/>
      <c r="I219" s="512"/>
      <c r="J219" s="512"/>
      <c r="K219" s="512"/>
      <c r="L219" s="512"/>
    </row>
    <row r="220" spans="1:18">
      <c r="A220" s="349"/>
      <c r="B220" s="512"/>
      <c r="C220" s="512"/>
      <c r="D220" s="512"/>
      <c r="E220" s="512"/>
      <c r="F220" s="512"/>
      <c r="G220" s="512"/>
      <c r="H220" s="512"/>
      <c r="I220" s="512"/>
      <c r="J220" s="512"/>
      <c r="K220" s="512"/>
      <c r="L220" s="512"/>
    </row>
    <row r="221" spans="1:18">
      <c r="A221" s="349" t="s">
        <v>84</v>
      </c>
      <c r="B221" s="588">
        <f>B214*B219</f>
        <v>518.18181818181813</v>
      </c>
      <c r="C221" s="512" t="s">
        <v>212</v>
      </c>
      <c r="D221" s="512"/>
      <c r="E221" s="512"/>
      <c r="F221" s="512"/>
      <c r="G221" s="512"/>
      <c r="H221" s="512"/>
      <c r="I221" s="512"/>
      <c r="J221" s="512"/>
      <c r="K221" s="512"/>
      <c r="L221" s="512"/>
    </row>
    <row r="222" spans="1:18">
      <c r="A222" s="349" t="s">
        <v>86</v>
      </c>
      <c r="B222" s="588">
        <f>B215*B219</f>
        <v>310.90909090909088</v>
      </c>
      <c r="C222" s="512" t="s">
        <v>212</v>
      </c>
      <c r="D222" s="512"/>
      <c r="E222" s="512"/>
      <c r="F222" s="512"/>
      <c r="G222" s="512"/>
      <c r="H222" s="512"/>
      <c r="I222" s="512"/>
      <c r="J222" s="512"/>
      <c r="K222" s="512"/>
      <c r="L222" s="512"/>
    </row>
    <row r="223" spans="1:18">
      <c r="A223" s="349" t="s">
        <v>1340</v>
      </c>
      <c r="B223" s="588">
        <f>B221*B222</f>
        <v>161107.4380165289</v>
      </c>
      <c r="C223" s="512" t="s">
        <v>215</v>
      </c>
      <c r="D223" s="512"/>
      <c r="E223" s="512"/>
      <c r="F223" s="512"/>
      <c r="G223" s="512"/>
      <c r="H223" s="512"/>
      <c r="I223" s="512"/>
      <c r="J223" s="512"/>
      <c r="K223" s="512"/>
      <c r="L223" s="512"/>
    </row>
    <row r="224" spans="1:18">
      <c r="A224" s="349"/>
      <c r="B224" s="512"/>
      <c r="C224" s="512"/>
      <c r="D224" s="512"/>
      <c r="E224" s="512"/>
      <c r="F224" s="512"/>
      <c r="G224" s="512"/>
      <c r="H224" s="512"/>
      <c r="I224" s="512"/>
      <c r="J224" s="512"/>
      <c r="K224" s="512"/>
      <c r="L224" s="512"/>
    </row>
    <row r="225" spans="1:12">
      <c r="A225" s="349" t="s">
        <v>1341</v>
      </c>
      <c r="B225" s="589">
        <f>(B219)^2</f>
        <v>6.7128099173553712</v>
      </c>
      <c r="C225" s="512"/>
      <c r="D225" s="589"/>
      <c r="E225" s="512"/>
      <c r="F225" s="512"/>
      <c r="G225" s="512"/>
      <c r="H225" s="512"/>
      <c r="I225" s="512"/>
      <c r="J225" s="512"/>
      <c r="K225" s="512"/>
      <c r="L225" s="512"/>
    </row>
    <row r="226" spans="1:12">
      <c r="A226" s="349"/>
      <c r="B226" s="512"/>
      <c r="C226" s="512"/>
      <c r="D226" s="512"/>
      <c r="E226" s="512"/>
      <c r="F226" s="512"/>
      <c r="G226" s="512"/>
      <c r="H226" s="512"/>
      <c r="I226" s="512"/>
      <c r="J226" s="512"/>
      <c r="K226" s="512"/>
      <c r="L226" s="512"/>
    </row>
    <row r="227" spans="1:12">
      <c r="A227" s="349" t="s">
        <v>1342</v>
      </c>
      <c r="B227" s="587">
        <f>1/B225</f>
        <v>0.14896891351184982</v>
      </c>
      <c r="C227" s="512"/>
      <c r="D227" s="512"/>
      <c r="E227" s="512"/>
      <c r="F227" s="512"/>
      <c r="G227" s="512"/>
      <c r="H227" s="512"/>
      <c r="I227" s="512"/>
      <c r="J227" s="512"/>
      <c r="K227" s="512"/>
      <c r="L227" s="512"/>
    </row>
    <row r="228" spans="1:12">
      <c r="A228" s="512"/>
      <c r="B228" s="512"/>
      <c r="C228" s="512"/>
      <c r="D228" s="512"/>
      <c r="E228" s="512"/>
      <c r="F228" s="512"/>
      <c r="G228" s="512"/>
      <c r="H228" s="512"/>
      <c r="I228" s="512"/>
      <c r="J228" s="512"/>
      <c r="K228" s="512"/>
      <c r="L228" s="512"/>
    </row>
    <row r="229" spans="1:12">
      <c r="A229" s="65" t="str">
        <f>"Die Helligkeit auf der Leinwand entspricht nur noch "&amp;ROUND(B227*100,2)&amp;" % der ursprünglichen Helligkeit bei Projektionsabstand 1"</f>
        <v>Die Helligkeit auf der Leinwand entspricht nur noch 14,9 % der ursprünglichen Helligkeit bei Projektionsabstand 1</v>
      </c>
      <c r="B229" s="512"/>
      <c r="C229" s="512"/>
      <c r="D229" s="512"/>
      <c r="E229" s="512"/>
      <c r="F229" s="512"/>
      <c r="G229" s="512"/>
      <c r="H229" s="512"/>
      <c r="I229" s="512"/>
      <c r="J229" s="512"/>
      <c r="K229" s="512"/>
      <c r="L229" s="512"/>
    </row>
    <row r="230" spans="1:12">
      <c r="A230" s="512"/>
      <c r="B230" s="512"/>
      <c r="C230" s="512"/>
      <c r="D230" s="512"/>
      <c r="E230" s="512"/>
      <c r="F230" s="512"/>
      <c r="G230" s="512"/>
      <c r="H230" s="512"/>
      <c r="I230" s="512"/>
      <c r="J230" s="512"/>
      <c r="K230" s="512"/>
      <c r="L230" s="512"/>
    </row>
    <row r="231" spans="1:12">
      <c r="A231" s="512"/>
      <c r="B231" s="512"/>
      <c r="C231" s="512"/>
      <c r="D231" s="512"/>
      <c r="E231" s="512"/>
      <c r="F231" s="512"/>
      <c r="G231" s="512"/>
      <c r="H231" s="512"/>
      <c r="I231" s="512"/>
      <c r="J231" s="512"/>
      <c r="K231" s="512"/>
      <c r="L231" s="512"/>
    </row>
    <row r="232" spans="1:12">
      <c r="A232" s="512"/>
      <c r="B232" s="512"/>
      <c r="C232" s="512"/>
      <c r="D232" s="512"/>
      <c r="E232" s="512"/>
      <c r="F232" s="512"/>
      <c r="G232" s="512"/>
      <c r="H232" s="512"/>
      <c r="I232" s="512"/>
      <c r="J232" s="512"/>
      <c r="K232" s="512"/>
      <c r="L232" s="512"/>
    </row>
    <row r="233" spans="1:12">
      <c r="A233" s="512" t="s">
        <v>1539</v>
      </c>
      <c r="B233" s="512"/>
      <c r="C233" s="512"/>
      <c r="D233" s="512"/>
      <c r="E233" s="512"/>
      <c r="F233" s="512"/>
      <c r="G233" s="512"/>
      <c r="H233" s="512"/>
      <c r="I233" s="512"/>
      <c r="J233" s="512"/>
      <c r="K233" s="512"/>
      <c r="L233" s="512"/>
    </row>
    <row r="234" spans="1:12">
      <c r="A234" s="512" t="s">
        <v>1540</v>
      </c>
      <c r="B234" s="512"/>
      <c r="C234" s="512"/>
      <c r="D234" s="512"/>
      <c r="E234" s="512"/>
      <c r="F234" s="512"/>
      <c r="G234" s="512"/>
      <c r="H234" s="512"/>
      <c r="I234" s="512"/>
      <c r="J234" s="512"/>
      <c r="K234" s="512"/>
      <c r="L234" s="512"/>
    </row>
    <row r="235" spans="1:12">
      <c r="A235" s="518" t="s">
        <v>1541</v>
      </c>
      <c r="B235" s="512"/>
      <c r="C235" s="512"/>
      <c r="D235" s="512"/>
      <c r="E235" s="512"/>
      <c r="F235" s="512"/>
      <c r="G235" s="512"/>
      <c r="H235" s="512"/>
      <c r="I235" s="512"/>
      <c r="J235" s="512"/>
      <c r="K235" s="512"/>
      <c r="L235" s="512"/>
    </row>
    <row r="236" spans="1:12">
      <c r="A236" s="512"/>
      <c r="B236" s="512"/>
      <c r="C236" s="512"/>
      <c r="D236" s="512"/>
      <c r="E236" s="512"/>
      <c r="F236" s="512"/>
      <c r="G236" s="512"/>
      <c r="H236" s="512"/>
      <c r="I236" s="512"/>
      <c r="J236" s="512"/>
      <c r="K236" s="512"/>
      <c r="L236" s="512"/>
    </row>
    <row r="237" spans="1:12">
      <c r="A237" s="349"/>
      <c r="B237" s="512"/>
      <c r="C237" s="512"/>
      <c r="D237" s="512"/>
      <c r="E237" s="512"/>
      <c r="F237" s="512"/>
      <c r="G237" s="512"/>
      <c r="H237" s="512"/>
      <c r="I237" s="512"/>
      <c r="J237" s="512"/>
      <c r="K237" s="512"/>
      <c r="L237" s="512"/>
    </row>
    <row r="238" spans="1:12">
      <c r="A238" s="349" t="s">
        <v>1542</v>
      </c>
      <c r="B238" s="590">
        <v>50</v>
      </c>
      <c r="C238" s="512" t="s">
        <v>344</v>
      </c>
      <c r="D238" s="512"/>
      <c r="E238" s="512"/>
      <c r="F238" s="512"/>
      <c r="G238" s="512"/>
      <c r="H238" s="512"/>
      <c r="I238" s="512"/>
      <c r="J238" s="512"/>
      <c r="K238" s="512"/>
      <c r="L238" s="512"/>
    </row>
    <row r="239" spans="1:12">
      <c r="A239" s="349" t="s">
        <v>1543</v>
      </c>
      <c r="B239" s="590">
        <v>65</v>
      </c>
      <c r="C239" s="512" t="s">
        <v>344</v>
      </c>
      <c r="D239" s="512"/>
      <c r="E239" s="512"/>
      <c r="F239" s="512"/>
      <c r="G239" s="512"/>
      <c r="H239" s="512"/>
      <c r="I239" s="512"/>
      <c r="J239" s="512"/>
      <c r="K239" s="512"/>
      <c r="L239" s="512"/>
    </row>
    <row r="240" spans="1:12">
      <c r="A240" s="349"/>
      <c r="B240" s="512"/>
      <c r="C240" s="512"/>
      <c r="D240" s="512"/>
      <c r="E240" s="512"/>
      <c r="F240" s="512"/>
      <c r="G240" s="512"/>
      <c r="H240" s="512"/>
      <c r="I240" s="512"/>
      <c r="J240" s="512"/>
      <c r="K240" s="512"/>
      <c r="L240" s="512"/>
    </row>
    <row r="241" spans="1:12">
      <c r="A241" s="349" t="s">
        <v>71</v>
      </c>
      <c r="B241" s="590">
        <v>36</v>
      </c>
      <c r="C241" s="512" t="s">
        <v>344</v>
      </c>
      <c r="D241" s="512"/>
      <c r="E241" s="512"/>
      <c r="F241" s="512"/>
      <c r="G241" s="512"/>
      <c r="H241" s="512"/>
      <c r="I241" s="512"/>
      <c r="J241" s="512"/>
      <c r="K241" s="512"/>
      <c r="L241" s="512"/>
    </row>
    <row r="242" spans="1:12">
      <c r="A242" s="349" t="s">
        <v>77</v>
      </c>
      <c r="B242" s="590">
        <v>24</v>
      </c>
      <c r="C242" s="512" t="s">
        <v>344</v>
      </c>
      <c r="D242" s="512"/>
      <c r="E242" s="512"/>
      <c r="F242" s="512"/>
      <c r="G242" s="512"/>
      <c r="H242" s="512"/>
      <c r="I242" s="512"/>
      <c r="J242" s="512"/>
      <c r="K242" s="512"/>
      <c r="L242" s="512"/>
    </row>
    <row r="243" spans="1:12">
      <c r="A243" s="349"/>
      <c r="B243" s="512"/>
      <c r="C243" s="512"/>
      <c r="D243" s="512"/>
      <c r="E243" s="512"/>
      <c r="F243" s="512"/>
      <c r="G243" s="512"/>
      <c r="H243" s="512"/>
      <c r="I243" s="512"/>
      <c r="J243" s="512"/>
      <c r="K243" s="512"/>
      <c r="L243" s="512"/>
    </row>
    <row r="244" spans="1:12">
      <c r="A244" s="349" t="s">
        <v>1338</v>
      </c>
      <c r="B244" s="512">
        <f>B241*B242</f>
        <v>864</v>
      </c>
      <c r="C244" s="512" t="s">
        <v>355</v>
      </c>
      <c r="D244" s="512"/>
      <c r="E244" s="512"/>
      <c r="F244" s="512"/>
      <c r="G244" s="512"/>
      <c r="H244" s="512"/>
      <c r="I244" s="512"/>
      <c r="J244" s="512"/>
      <c r="K244" s="512"/>
      <c r="L244" s="512"/>
    </row>
    <row r="245" spans="1:12">
      <c r="A245" s="349"/>
      <c r="B245" s="512"/>
      <c r="C245" s="512"/>
      <c r="D245" s="512"/>
      <c r="E245" s="512"/>
      <c r="F245" s="512"/>
      <c r="G245" s="512"/>
      <c r="H245" s="512"/>
      <c r="I245" s="512"/>
      <c r="J245" s="512"/>
      <c r="K245" s="512"/>
      <c r="L245" s="512"/>
    </row>
    <row r="246" spans="1:12">
      <c r="A246" s="349" t="s">
        <v>1339</v>
      </c>
      <c r="B246" s="587">
        <f>B239/B238</f>
        <v>1.3</v>
      </c>
      <c r="C246" s="512"/>
      <c r="D246" s="512"/>
      <c r="E246" s="512"/>
      <c r="F246" s="512"/>
      <c r="G246" s="512"/>
      <c r="H246" s="512"/>
      <c r="I246" s="512"/>
      <c r="J246" s="512"/>
      <c r="K246" s="512"/>
      <c r="L246" s="512"/>
    </row>
    <row r="247" spans="1:12">
      <c r="A247" s="349"/>
      <c r="B247" s="512"/>
      <c r="C247" s="512"/>
      <c r="D247" s="512"/>
      <c r="E247" s="512"/>
      <c r="F247" s="512"/>
      <c r="G247" s="512"/>
      <c r="H247" s="512"/>
      <c r="I247" s="512"/>
      <c r="J247" s="512"/>
      <c r="K247" s="512"/>
      <c r="L247" s="512"/>
    </row>
    <row r="248" spans="1:12">
      <c r="A248" s="349" t="s">
        <v>84</v>
      </c>
      <c r="B248" s="588">
        <f>B241*B246</f>
        <v>46.800000000000004</v>
      </c>
      <c r="C248" s="512" t="s">
        <v>344</v>
      </c>
      <c r="D248" s="512"/>
      <c r="E248" s="512"/>
      <c r="F248" s="512"/>
      <c r="G248" s="512"/>
      <c r="H248" s="512"/>
      <c r="I248" s="512"/>
      <c r="J248" s="512"/>
      <c r="K248" s="512"/>
      <c r="L248" s="512"/>
    </row>
    <row r="249" spans="1:12">
      <c r="A249" s="349" t="s">
        <v>86</v>
      </c>
      <c r="B249" s="588">
        <f>B242*B246</f>
        <v>31.200000000000003</v>
      </c>
      <c r="C249" s="512" t="s">
        <v>344</v>
      </c>
      <c r="D249" s="512"/>
      <c r="E249" s="512"/>
      <c r="F249" s="512"/>
      <c r="G249" s="512"/>
      <c r="H249" s="512"/>
      <c r="I249" s="512"/>
      <c r="J249" s="512"/>
      <c r="K249" s="512"/>
      <c r="L249" s="512"/>
    </row>
    <row r="250" spans="1:12">
      <c r="A250" s="349" t="s">
        <v>1340</v>
      </c>
      <c r="B250" s="588">
        <f>B248*B249</f>
        <v>1460.1600000000003</v>
      </c>
      <c r="C250" s="512" t="s">
        <v>355</v>
      </c>
      <c r="D250" s="512"/>
      <c r="E250" s="512"/>
      <c r="F250" s="512"/>
      <c r="G250" s="512"/>
      <c r="H250" s="512"/>
      <c r="I250" s="512"/>
      <c r="J250" s="512"/>
      <c r="K250" s="512"/>
      <c r="L250" s="512"/>
    </row>
    <row r="251" spans="1:12">
      <c r="A251" s="349"/>
      <c r="B251" s="512"/>
      <c r="C251" s="512"/>
      <c r="D251" s="512"/>
      <c r="E251" s="512"/>
      <c r="F251" s="512"/>
      <c r="G251" s="512"/>
      <c r="H251" s="512"/>
      <c r="I251" s="512"/>
      <c r="J251" s="512"/>
      <c r="K251" s="512"/>
      <c r="L251" s="512"/>
    </row>
    <row r="252" spans="1:12">
      <c r="A252" s="349" t="s">
        <v>1341</v>
      </c>
      <c r="B252" s="589">
        <f>(B246)^2</f>
        <v>1.6900000000000002</v>
      </c>
      <c r="C252" s="512"/>
      <c r="D252" s="589"/>
      <c r="E252" s="512"/>
      <c r="F252" s="512"/>
      <c r="G252" s="512"/>
      <c r="H252" s="512"/>
      <c r="I252" s="512"/>
      <c r="J252" s="512"/>
      <c r="K252" s="512"/>
      <c r="L252" s="512"/>
    </row>
    <row r="253" spans="1:12">
      <c r="A253" s="349"/>
      <c r="B253" s="512"/>
      <c r="C253" s="512"/>
      <c r="D253" s="512"/>
      <c r="E253" s="512"/>
      <c r="F253" s="512"/>
      <c r="G253" s="512"/>
      <c r="H253" s="512"/>
      <c r="I253" s="512"/>
      <c r="J253" s="512"/>
      <c r="K253" s="512"/>
      <c r="L253" s="512"/>
    </row>
    <row r="254" spans="1:12">
      <c r="A254" s="349" t="s">
        <v>1342</v>
      </c>
      <c r="B254" s="587">
        <f>1/B252</f>
        <v>0.59171597633136086</v>
      </c>
      <c r="C254" s="512"/>
      <c r="D254" s="512"/>
      <c r="E254" s="512"/>
      <c r="F254" s="512"/>
      <c r="G254" s="512"/>
      <c r="H254" s="512"/>
      <c r="I254" s="512"/>
      <c r="J254" s="512"/>
      <c r="K254" s="512"/>
      <c r="L254" s="512"/>
    </row>
    <row r="255" spans="1:12">
      <c r="A255" s="512"/>
      <c r="B255" s="512"/>
      <c r="C255" s="512"/>
      <c r="D255" s="512"/>
      <c r="E255" s="512"/>
      <c r="F255" s="512"/>
      <c r="G255" s="512"/>
      <c r="H255" s="512"/>
      <c r="I255" s="512"/>
      <c r="J255" s="512"/>
      <c r="K255" s="512"/>
      <c r="L255" s="512"/>
    </row>
    <row r="256" spans="1:12">
      <c r="A256" s="65" t="str">
        <f>"Die Belichtungsintensität entspricht nur noch "&amp;ROUND(B254*100,2)&amp;" % der Belichtungsintensität bei Projektionsabstand 1"</f>
        <v>Die Belichtungsintensität entspricht nur noch 59,17 % der Belichtungsintensität bei Projektionsabstand 1</v>
      </c>
      <c r="B256" s="512"/>
      <c r="C256" s="512"/>
      <c r="D256" s="512"/>
      <c r="E256" s="512"/>
      <c r="F256" s="512"/>
      <c r="G256" s="512"/>
      <c r="H256" s="512"/>
      <c r="I256" s="512"/>
      <c r="J256" s="512"/>
      <c r="K256" s="512"/>
      <c r="L256" s="512"/>
    </row>
    <row r="257" spans="1:12">
      <c r="A257" s="349"/>
      <c r="B257" s="512"/>
      <c r="C257" s="512"/>
      <c r="D257" s="512"/>
      <c r="E257" s="512"/>
      <c r="F257" s="512"/>
      <c r="G257" s="512"/>
      <c r="H257" s="512"/>
      <c r="I257" s="512"/>
      <c r="J257" s="512"/>
      <c r="K257" s="512"/>
      <c r="L257" s="512"/>
    </row>
    <row r="258" spans="1:12">
      <c r="A258" s="512"/>
      <c r="B258" s="512"/>
      <c r="C258" s="512"/>
      <c r="D258" s="512"/>
      <c r="E258" s="512"/>
      <c r="F258" s="512"/>
      <c r="G258" s="512"/>
      <c r="H258" s="512"/>
      <c r="I258" s="512"/>
      <c r="J258" s="512"/>
      <c r="K258" s="512"/>
      <c r="L258" s="512"/>
    </row>
    <row r="259" spans="1:12">
      <c r="A259" s="512"/>
      <c r="B259" s="512"/>
      <c r="C259" s="512"/>
      <c r="D259" s="512"/>
      <c r="E259" s="512"/>
      <c r="F259" s="512"/>
      <c r="G259" s="512"/>
      <c r="H259" s="512"/>
      <c r="I259" s="512"/>
      <c r="J259" s="512"/>
      <c r="K259" s="512"/>
      <c r="L259" s="512"/>
    </row>
    <row r="260" spans="1:12">
      <c r="A260" s="512"/>
      <c r="B260" s="512"/>
      <c r="C260" s="512"/>
      <c r="D260" s="512"/>
      <c r="E260" s="512"/>
      <c r="F260" s="512"/>
      <c r="G260" s="512"/>
      <c r="H260" s="512"/>
      <c r="I260" s="512"/>
      <c r="J260" s="512"/>
      <c r="K260" s="512"/>
      <c r="L260" s="512"/>
    </row>
    <row r="261" spans="1:12">
      <c r="A261" s="512"/>
      <c r="B261" s="512"/>
      <c r="C261" s="512"/>
      <c r="D261" s="512"/>
      <c r="E261" s="512"/>
      <c r="F261" s="512"/>
      <c r="G261" s="512"/>
      <c r="H261" s="512"/>
      <c r="I261" s="512"/>
      <c r="J261" s="512"/>
      <c r="K261" s="512"/>
      <c r="L261" s="512"/>
    </row>
    <row r="262" spans="1:12">
      <c r="A262" s="513" t="s">
        <v>1343</v>
      </c>
      <c r="B262" s="513"/>
      <c r="C262" s="513"/>
      <c r="D262" s="513"/>
      <c r="E262" s="513"/>
      <c r="F262" s="513"/>
      <c r="G262" s="513"/>
      <c r="H262" s="513"/>
      <c r="I262" s="513"/>
      <c r="J262" s="513"/>
      <c r="K262" s="513"/>
      <c r="L262" s="513"/>
    </row>
    <row r="263" spans="1:12">
      <c r="A263" s="513" t="s">
        <v>1344</v>
      </c>
      <c r="B263" s="513"/>
      <c r="C263" s="513"/>
      <c r="D263" s="513"/>
      <c r="E263" s="513"/>
      <c r="F263" s="513"/>
      <c r="G263" s="513"/>
      <c r="H263" s="513"/>
      <c r="I263" s="513"/>
      <c r="J263" s="513"/>
      <c r="K263" s="513"/>
      <c r="L263" s="513"/>
    </row>
    <row r="264" spans="1:12">
      <c r="A264" s="513" t="s">
        <v>1345</v>
      </c>
      <c r="B264" s="513"/>
      <c r="C264" s="513"/>
      <c r="D264" s="513"/>
      <c r="E264" s="513"/>
      <c r="F264" s="513"/>
      <c r="G264" s="513"/>
      <c r="H264" s="513"/>
      <c r="I264" s="513"/>
      <c r="J264" s="513"/>
      <c r="K264" s="513"/>
      <c r="L264" s="513"/>
    </row>
    <row r="265" spans="1:12">
      <c r="A265" s="513" t="s">
        <v>1346</v>
      </c>
      <c r="B265" s="513"/>
      <c r="C265" s="513"/>
      <c r="D265" s="513"/>
      <c r="E265" s="513"/>
      <c r="F265" s="513"/>
      <c r="G265" s="513"/>
      <c r="H265" s="513"/>
      <c r="I265" s="513"/>
      <c r="J265" s="513"/>
      <c r="K265" s="513"/>
      <c r="L265" s="513"/>
    </row>
    <row r="266" spans="1:12">
      <c r="A266" s="513" t="s">
        <v>1347</v>
      </c>
      <c r="B266" s="513"/>
      <c r="C266" s="513"/>
      <c r="D266" s="513"/>
      <c r="E266" s="513"/>
      <c r="F266" s="513"/>
      <c r="G266" s="513"/>
      <c r="H266" s="513"/>
      <c r="I266" s="513"/>
      <c r="J266" s="513"/>
      <c r="K266" s="513"/>
      <c r="L266" s="513"/>
    </row>
    <row r="267" spans="1:12">
      <c r="A267" s="513" t="s">
        <v>1348</v>
      </c>
      <c r="B267" s="513"/>
      <c r="C267" s="513"/>
      <c r="D267" s="513"/>
      <c r="E267" s="513"/>
      <c r="F267" s="513"/>
      <c r="G267" s="513"/>
      <c r="H267" s="513"/>
      <c r="I267" s="513"/>
      <c r="J267" s="513"/>
      <c r="K267" s="513"/>
      <c r="L267" s="513"/>
    </row>
    <row r="268" spans="1:12">
      <c r="A268" s="513" t="s">
        <v>1349</v>
      </c>
      <c r="B268" s="513"/>
      <c r="C268" s="513"/>
      <c r="D268" s="513"/>
      <c r="E268" s="513"/>
      <c r="F268" s="513"/>
      <c r="G268" s="513"/>
      <c r="H268" s="513"/>
      <c r="I268" s="513"/>
      <c r="J268" s="513"/>
      <c r="K268" s="513"/>
      <c r="L268" s="513"/>
    </row>
    <row r="269" spans="1:12">
      <c r="A269" s="513" t="s">
        <v>1350</v>
      </c>
      <c r="B269" s="513"/>
      <c r="C269" s="513"/>
      <c r="D269" s="513"/>
      <c r="E269" s="513"/>
      <c r="F269" s="513"/>
      <c r="G269" s="513"/>
      <c r="H269" s="513"/>
      <c r="I269" s="513"/>
      <c r="J269" s="513"/>
      <c r="K269" s="513"/>
      <c r="L269" s="513"/>
    </row>
    <row r="270" spans="1:12">
      <c r="A270" s="513"/>
      <c r="B270" s="513"/>
      <c r="C270" s="513"/>
      <c r="D270" s="513"/>
      <c r="E270" s="513"/>
      <c r="F270" s="513"/>
      <c r="G270" s="513"/>
      <c r="H270" s="513"/>
      <c r="I270" s="513"/>
      <c r="J270" s="513"/>
      <c r="K270" s="513"/>
      <c r="L270" s="513"/>
    </row>
    <row r="271" spans="1:12">
      <c r="A271" s="546" t="s">
        <v>71</v>
      </c>
      <c r="B271" s="547">
        <v>90</v>
      </c>
      <c r="C271" s="513" t="s">
        <v>212</v>
      </c>
      <c r="D271" s="513"/>
      <c r="E271" s="513"/>
      <c r="F271" s="513"/>
      <c r="G271" s="513"/>
      <c r="H271" s="513"/>
      <c r="I271" s="513"/>
      <c r="J271" s="513"/>
      <c r="K271" s="513"/>
      <c r="L271" s="513"/>
    </row>
    <row r="272" spans="1:12">
      <c r="A272" s="546" t="s">
        <v>77</v>
      </c>
      <c r="B272" s="547">
        <v>50</v>
      </c>
      <c r="C272" s="513" t="s">
        <v>212</v>
      </c>
      <c r="D272" s="513"/>
      <c r="E272" s="513"/>
      <c r="F272" s="513"/>
      <c r="G272" s="513"/>
      <c r="H272" s="513"/>
      <c r="I272" s="513"/>
      <c r="J272" s="513"/>
      <c r="K272" s="513"/>
      <c r="L272" s="513"/>
    </row>
    <row r="273" spans="1:12">
      <c r="A273" s="546" t="s">
        <v>1351</v>
      </c>
      <c r="B273" s="547">
        <v>187</v>
      </c>
      <c r="C273" s="513" t="s">
        <v>212</v>
      </c>
      <c r="D273" s="513"/>
      <c r="E273" s="513"/>
      <c r="F273" s="513"/>
      <c r="G273" s="513"/>
      <c r="H273" s="513"/>
      <c r="I273" s="513"/>
      <c r="J273" s="513"/>
      <c r="K273" s="513"/>
      <c r="L273" s="513"/>
    </row>
    <row r="274" spans="1:12">
      <c r="A274" s="546" t="s">
        <v>1352</v>
      </c>
      <c r="B274" s="547">
        <v>312</v>
      </c>
      <c r="C274" s="513" t="s">
        <v>212</v>
      </c>
      <c r="D274" s="513"/>
      <c r="E274" s="513"/>
      <c r="F274" s="513"/>
      <c r="G274" s="513"/>
      <c r="H274" s="513"/>
      <c r="I274" s="513"/>
      <c r="J274" s="513"/>
      <c r="K274" s="513"/>
      <c r="L274" s="513"/>
    </row>
    <row r="275" spans="1:12">
      <c r="A275" s="546" t="s">
        <v>1353</v>
      </c>
      <c r="B275" s="548">
        <v>1</v>
      </c>
      <c r="C275" s="513"/>
      <c r="D275" s="513"/>
      <c r="E275" s="513"/>
      <c r="F275" s="513"/>
      <c r="G275" s="513"/>
      <c r="H275" s="513"/>
      <c r="I275" s="513"/>
      <c r="J275" s="513"/>
      <c r="K275" s="513"/>
      <c r="L275" s="513"/>
    </row>
    <row r="276" spans="1:12">
      <c r="A276" s="546" t="s">
        <v>1354</v>
      </c>
      <c r="B276" s="549">
        <f>1/60</f>
        <v>1.6666666666666666E-2</v>
      </c>
      <c r="C276" s="513" t="s">
        <v>1355</v>
      </c>
      <c r="D276" s="513" t="str">
        <f>"entspricht 1/" &amp; 1/B276</f>
        <v>entspricht 1/60</v>
      </c>
      <c r="E276" s="513"/>
      <c r="F276" s="513"/>
      <c r="G276" s="513"/>
      <c r="H276" s="513"/>
      <c r="I276" s="513"/>
      <c r="J276" s="513"/>
      <c r="K276" s="513"/>
      <c r="L276" s="513"/>
    </row>
    <row r="277" spans="1:12">
      <c r="A277" s="546" t="s">
        <v>1356</v>
      </c>
      <c r="B277" s="550">
        <v>16</v>
      </c>
      <c r="C277" s="513"/>
      <c r="D277" s="513"/>
      <c r="E277" s="513"/>
      <c r="F277" s="513"/>
      <c r="G277" s="513"/>
      <c r="H277" s="513"/>
      <c r="I277" s="513"/>
      <c r="J277" s="513"/>
      <c r="K277" s="513"/>
      <c r="L277" s="513"/>
    </row>
    <row r="278" spans="1:12">
      <c r="A278" s="546"/>
      <c r="B278" s="513"/>
      <c r="C278" s="513"/>
      <c r="D278" s="513"/>
      <c r="E278" s="513"/>
      <c r="F278" s="513"/>
      <c r="G278" s="513"/>
      <c r="H278" s="513"/>
      <c r="I278" s="513"/>
      <c r="J278" s="513"/>
      <c r="K278" s="513"/>
      <c r="L278" s="513"/>
    </row>
    <row r="279" spans="1:12">
      <c r="A279" s="546" t="s">
        <v>1338</v>
      </c>
      <c r="B279" s="513">
        <f>B271*B272</f>
        <v>4500</v>
      </c>
      <c r="C279" s="513" t="s">
        <v>215</v>
      </c>
      <c r="D279" s="513"/>
      <c r="E279" s="513"/>
      <c r="F279" s="513"/>
      <c r="G279" s="513"/>
      <c r="H279" s="513"/>
      <c r="I279" s="513"/>
      <c r="J279" s="513"/>
      <c r="K279" s="513"/>
      <c r="L279" s="513"/>
    </row>
    <row r="280" spans="1:12">
      <c r="A280" s="546"/>
      <c r="B280" s="513"/>
      <c r="C280" s="513"/>
      <c r="D280" s="513"/>
      <c r="E280" s="513"/>
      <c r="F280" s="513"/>
      <c r="G280" s="513"/>
      <c r="H280" s="513"/>
      <c r="I280" s="513"/>
      <c r="J280" s="513"/>
      <c r="K280" s="513"/>
      <c r="L280" s="513"/>
    </row>
    <row r="281" spans="1:12">
      <c r="A281" s="546" t="s">
        <v>1357</v>
      </c>
      <c r="B281" s="551">
        <f>B274/B273</f>
        <v>1.6684491978609626</v>
      </c>
      <c r="C281" s="513"/>
      <c r="D281" s="513"/>
      <c r="E281" s="513"/>
      <c r="F281" s="513"/>
      <c r="G281" s="513"/>
      <c r="H281" s="513"/>
      <c r="I281" s="513"/>
      <c r="J281" s="513"/>
      <c r="K281" s="513"/>
      <c r="L281" s="513"/>
    </row>
    <row r="282" spans="1:12">
      <c r="A282" s="546"/>
      <c r="B282" s="513"/>
      <c r="C282" s="513"/>
      <c r="D282" s="513"/>
      <c r="E282" s="513"/>
      <c r="F282" s="513"/>
      <c r="G282" s="513"/>
      <c r="H282" s="513"/>
      <c r="I282" s="513"/>
      <c r="J282" s="513"/>
      <c r="K282" s="513"/>
      <c r="L282" s="513"/>
    </row>
    <row r="283" spans="1:12">
      <c r="A283" s="546" t="s">
        <v>84</v>
      </c>
      <c r="B283" s="552">
        <f>B271*B281</f>
        <v>150.16042780748663</v>
      </c>
      <c r="C283" s="513" t="s">
        <v>212</v>
      </c>
      <c r="D283" s="513"/>
      <c r="E283" s="513"/>
      <c r="F283" s="513"/>
      <c r="G283" s="513"/>
      <c r="H283" s="513"/>
      <c r="I283" s="513"/>
      <c r="J283" s="513"/>
      <c r="K283" s="513"/>
      <c r="L283" s="513"/>
    </row>
    <row r="284" spans="1:12">
      <c r="A284" s="546" t="s">
        <v>86</v>
      </c>
      <c r="B284" s="552">
        <f>B272*B281</f>
        <v>83.422459893048128</v>
      </c>
      <c r="C284" s="513" t="s">
        <v>212</v>
      </c>
      <c r="D284" s="513"/>
      <c r="E284" s="513"/>
      <c r="F284" s="513"/>
      <c r="G284" s="513"/>
      <c r="H284" s="513"/>
      <c r="I284" s="513"/>
      <c r="J284" s="513"/>
      <c r="K284" s="513"/>
      <c r="L284" s="513"/>
    </row>
    <row r="285" spans="1:12">
      <c r="A285" s="546" t="s">
        <v>1340</v>
      </c>
      <c r="B285" s="552">
        <f>B283*B284</f>
        <v>12526.752266293002</v>
      </c>
      <c r="C285" s="513" t="s">
        <v>215</v>
      </c>
      <c r="D285" s="513"/>
      <c r="E285" s="513"/>
      <c r="F285" s="513"/>
      <c r="G285" s="513"/>
      <c r="H285" s="513"/>
      <c r="I285" s="513"/>
      <c r="J285" s="513"/>
      <c r="K285" s="513"/>
      <c r="L285" s="513"/>
    </row>
    <row r="286" spans="1:12">
      <c r="A286" s="546"/>
      <c r="B286" s="513"/>
      <c r="C286" s="513"/>
      <c r="D286" s="513"/>
      <c r="E286" s="513"/>
      <c r="F286" s="513"/>
      <c r="G286" s="513"/>
      <c r="H286" s="513"/>
      <c r="I286" s="513"/>
      <c r="J286" s="513"/>
      <c r="K286" s="513"/>
      <c r="L286" s="513"/>
    </row>
    <row r="287" spans="1:12">
      <c r="A287" s="546" t="s">
        <v>1358</v>
      </c>
      <c r="B287" s="551">
        <f>B281^2</f>
        <v>2.7837227258428894</v>
      </c>
      <c r="C287" s="513"/>
      <c r="D287" s="513"/>
      <c r="E287" s="513"/>
      <c r="F287" s="513"/>
      <c r="G287" s="513"/>
      <c r="H287" s="513"/>
      <c r="I287" s="513"/>
      <c r="J287" s="513"/>
      <c r="K287" s="513"/>
      <c r="L287" s="513"/>
    </row>
    <row r="288" spans="1:12">
      <c r="A288" s="546"/>
      <c r="B288" s="513"/>
      <c r="C288" s="513"/>
      <c r="D288" s="513"/>
      <c r="E288" s="513"/>
      <c r="F288" s="513"/>
      <c r="G288" s="513"/>
      <c r="H288" s="513"/>
      <c r="I288" s="513"/>
      <c r="J288" s="513"/>
      <c r="K288" s="513"/>
      <c r="L288" s="513"/>
    </row>
    <row r="289" spans="1:12">
      <c r="A289" s="546" t="s">
        <v>1359</v>
      </c>
      <c r="B289" s="551">
        <f>1/B287</f>
        <v>0.35923118014464167</v>
      </c>
      <c r="C289" s="513"/>
      <c r="D289" s="513"/>
      <c r="E289" s="513"/>
      <c r="F289" s="513"/>
      <c r="G289" s="513"/>
      <c r="H289" s="513"/>
      <c r="I289" s="513"/>
      <c r="J289" s="513"/>
      <c r="K289" s="513"/>
      <c r="L289" s="513"/>
    </row>
    <row r="290" spans="1:12">
      <c r="A290" s="546" t="s">
        <v>1360</v>
      </c>
      <c r="B290" s="381">
        <f>B275*B289</f>
        <v>0.35923118014464167</v>
      </c>
      <c r="C290" s="513"/>
      <c r="D290" s="513"/>
      <c r="E290" s="513"/>
      <c r="F290" s="513"/>
      <c r="G290" s="513"/>
      <c r="H290" s="513"/>
      <c r="I290" s="513"/>
      <c r="J290" s="513"/>
      <c r="K290" s="513"/>
      <c r="L290" s="513"/>
    </row>
    <row r="291" spans="1:12">
      <c r="A291" s="546"/>
      <c r="B291" s="513"/>
      <c r="C291" s="513"/>
      <c r="D291" s="513"/>
      <c r="E291" s="513"/>
      <c r="F291" s="513"/>
      <c r="G291" s="513"/>
      <c r="H291" s="513"/>
      <c r="I291" s="513"/>
      <c r="J291" s="513"/>
      <c r="K291" s="513"/>
      <c r="L291" s="513"/>
    </row>
    <row r="292" spans="1:12">
      <c r="A292" s="546" t="s">
        <v>1361</v>
      </c>
      <c r="B292" s="553">
        <f>B276*B287</f>
        <v>4.6395378764048159E-2</v>
      </c>
      <c r="C292" s="513" t="s">
        <v>851</v>
      </c>
      <c r="D292" s="513" t="str">
        <f>"entspricht 1/" &amp;ROUND(1/B292,2)</f>
        <v>entspricht 1/21,55</v>
      </c>
      <c r="E292" s="513"/>
      <c r="F292" s="513"/>
      <c r="G292" s="513"/>
      <c r="H292" s="513"/>
      <c r="I292" s="513"/>
      <c r="J292" s="513"/>
      <c r="K292" s="513"/>
      <c r="L292" s="513"/>
    </row>
    <row r="293" spans="1:12">
      <c r="A293" s="546" t="s">
        <v>1362</v>
      </c>
      <c r="B293" s="552">
        <f>B277*1/(B274/B273)</f>
        <v>9.5897435897435894</v>
      </c>
      <c r="C293" s="513"/>
      <c r="D293" s="513"/>
      <c r="E293" s="513"/>
      <c r="F293" s="513"/>
      <c r="G293" s="513"/>
      <c r="H293" s="513"/>
      <c r="I293" s="513"/>
      <c r="J293" s="513"/>
      <c r="K293" s="513"/>
      <c r="L293" s="513"/>
    </row>
    <row r="294" spans="1:12">
      <c r="A294" s="546"/>
      <c r="B294" s="513"/>
      <c r="C294" s="513"/>
      <c r="D294" s="513"/>
      <c r="E294" s="513"/>
      <c r="F294" s="513"/>
      <c r="G294" s="513"/>
      <c r="H294" s="513"/>
      <c r="I294" s="513"/>
      <c r="J294" s="513"/>
      <c r="K294" s="513"/>
      <c r="L294" s="513"/>
    </row>
    <row r="295" spans="1:12">
      <c r="A295" s="546"/>
      <c r="B295" s="513"/>
      <c r="C295" s="513"/>
      <c r="D295" s="513"/>
      <c r="E295" s="513"/>
      <c r="F295" s="513"/>
      <c r="G295" s="513"/>
      <c r="H295" s="513"/>
      <c r="I295" s="513"/>
      <c r="J295" s="513"/>
      <c r="K295" s="513"/>
      <c r="L295" s="513"/>
    </row>
    <row r="296" spans="1:12">
      <c r="A296" s="546"/>
      <c r="B296" s="513"/>
      <c r="C296" s="513"/>
      <c r="D296" s="513"/>
      <c r="E296" s="513"/>
      <c r="F296" s="513"/>
      <c r="G296" s="513"/>
      <c r="H296" s="513"/>
      <c r="I296" s="513"/>
      <c r="J296" s="513"/>
      <c r="K296" s="513"/>
      <c r="L296" s="513"/>
    </row>
    <row r="297" spans="1:12">
      <c r="A297" s="519" t="s">
        <v>1363</v>
      </c>
      <c r="B297" s="513"/>
      <c r="C297" s="513"/>
      <c r="D297" s="513"/>
      <c r="E297" s="513"/>
      <c r="F297" s="513"/>
      <c r="G297" s="513"/>
      <c r="H297" s="513"/>
      <c r="I297" s="513"/>
      <c r="J297" s="513"/>
      <c r="K297" s="513"/>
      <c r="L297" s="513"/>
    </row>
    <row r="298" spans="1:12">
      <c r="A298" s="519" t="s">
        <v>1364</v>
      </c>
      <c r="B298" s="513"/>
      <c r="C298" s="513"/>
      <c r="D298" s="513"/>
      <c r="E298" s="513"/>
      <c r="F298" s="513"/>
      <c r="G298" s="513"/>
      <c r="H298" s="513"/>
      <c r="I298" s="513"/>
      <c r="J298" s="513"/>
      <c r="K298" s="513"/>
      <c r="L298" s="513"/>
    </row>
    <row r="299" spans="1:12">
      <c r="A299" s="519" t="s">
        <v>1365</v>
      </c>
      <c r="B299" s="513"/>
      <c r="C299" s="513"/>
      <c r="D299" s="513"/>
      <c r="E299" s="513"/>
      <c r="F299" s="513"/>
      <c r="G299" s="513"/>
      <c r="H299" s="513"/>
      <c r="I299" s="513"/>
      <c r="J299" s="513"/>
      <c r="K299" s="513"/>
      <c r="L299" s="513"/>
    </row>
    <row r="300" spans="1:12">
      <c r="A300" s="519" t="s">
        <v>1366</v>
      </c>
      <c r="B300" s="513"/>
      <c r="C300" s="513"/>
      <c r="D300" s="513"/>
      <c r="E300" s="513"/>
      <c r="F300" s="513"/>
      <c r="G300" s="513"/>
      <c r="H300" s="513"/>
      <c r="I300" s="513"/>
      <c r="J300" s="513"/>
      <c r="K300" s="513"/>
      <c r="L300" s="513"/>
    </row>
    <row r="301" spans="1:12">
      <c r="A301" s="513"/>
      <c r="B301" s="513"/>
      <c r="C301" s="513"/>
      <c r="D301" s="513"/>
      <c r="E301" s="513"/>
      <c r="F301" s="513"/>
      <c r="G301" s="513"/>
      <c r="H301" s="513"/>
      <c r="I301" s="513"/>
      <c r="J301" s="513"/>
      <c r="K301" s="513"/>
      <c r="L301" s="513"/>
    </row>
    <row r="302" spans="1:12">
      <c r="A302" s="546" t="s">
        <v>1305</v>
      </c>
      <c r="B302" s="554">
        <v>190</v>
      </c>
      <c r="C302" s="513" t="s">
        <v>212</v>
      </c>
      <c r="D302" s="513"/>
      <c r="E302" s="513"/>
      <c r="F302" s="513"/>
      <c r="G302" s="513"/>
      <c r="H302" s="513"/>
      <c r="I302" s="513"/>
      <c r="J302" s="513"/>
      <c r="K302" s="513"/>
      <c r="L302" s="513"/>
    </row>
    <row r="303" spans="1:12">
      <c r="A303" s="546" t="s">
        <v>1337</v>
      </c>
      <c r="B303" s="554">
        <v>370</v>
      </c>
      <c r="C303" s="513" t="s">
        <v>212</v>
      </c>
      <c r="D303" s="513"/>
      <c r="E303" s="513"/>
      <c r="F303" s="513"/>
      <c r="G303" s="513"/>
      <c r="H303" s="513"/>
      <c r="I303" s="513"/>
      <c r="J303" s="513"/>
      <c r="K303" s="513"/>
      <c r="L303" s="513"/>
    </row>
    <row r="304" spans="1:12">
      <c r="A304" s="546" t="s">
        <v>71</v>
      </c>
      <c r="B304" s="554">
        <v>80</v>
      </c>
      <c r="C304" s="513" t="s">
        <v>212</v>
      </c>
      <c r="D304" s="513"/>
      <c r="E304" s="513"/>
      <c r="F304" s="513"/>
      <c r="G304" s="513"/>
      <c r="H304" s="513"/>
      <c r="I304" s="513"/>
      <c r="J304" s="513"/>
      <c r="K304" s="513"/>
      <c r="L304" s="513"/>
    </row>
    <row r="305" spans="1:12">
      <c r="A305" s="546" t="s">
        <v>77</v>
      </c>
      <c r="B305" s="554">
        <v>35</v>
      </c>
      <c r="C305" s="513" t="s">
        <v>212</v>
      </c>
      <c r="D305" s="513"/>
      <c r="E305" s="513"/>
      <c r="F305" s="513"/>
      <c r="G305" s="513"/>
      <c r="H305" s="513"/>
      <c r="I305" s="513"/>
      <c r="J305" s="513"/>
      <c r="K305" s="513"/>
      <c r="L305" s="513"/>
    </row>
    <row r="306" spans="1:12">
      <c r="A306" s="546" t="s">
        <v>1353</v>
      </c>
      <c r="B306" s="503">
        <v>1</v>
      </c>
      <c r="C306" s="513"/>
      <c r="D306" s="513"/>
      <c r="E306" s="513"/>
      <c r="F306" s="513"/>
      <c r="G306" s="513"/>
      <c r="H306" s="513"/>
      <c r="I306" s="513"/>
      <c r="J306" s="513"/>
      <c r="K306" s="513"/>
      <c r="L306" s="513"/>
    </row>
    <row r="307" spans="1:12">
      <c r="A307" s="546" t="s">
        <v>1354</v>
      </c>
      <c r="B307" s="554">
        <f>1/60</f>
        <v>1.6666666666666666E-2</v>
      </c>
      <c r="C307" s="513" t="s">
        <v>851</v>
      </c>
      <c r="D307" s="513" t="str">
        <f>"1/" &amp; ROUND(1/B307,0)</f>
        <v>1/60</v>
      </c>
      <c r="E307" s="513"/>
      <c r="F307" s="513"/>
      <c r="G307" s="513"/>
      <c r="H307" s="513"/>
      <c r="I307" s="513"/>
      <c r="J307" s="513"/>
      <c r="K307" s="513"/>
      <c r="L307" s="513"/>
    </row>
    <row r="308" spans="1:12">
      <c r="A308" s="546"/>
      <c r="B308" s="513"/>
      <c r="C308" s="513"/>
      <c r="D308" s="513"/>
      <c r="E308" s="513"/>
      <c r="F308" s="513"/>
      <c r="G308" s="513"/>
      <c r="H308" s="513"/>
      <c r="I308" s="513"/>
      <c r="J308" s="513"/>
      <c r="K308" s="513"/>
      <c r="L308" s="513"/>
    </row>
    <row r="309" spans="1:12">
      <c r="A309" s="546" t="s">
        <v>1338</v>
      </c>
      <c r="B309" s="513">
        <f>B304*B305</f>
        <v>2800</v>
      </c>
      <c r="C309" s="513" t="s">
        <v>215</v>
      </c>
      <c r="D309" s="513"/>
      <c r="E309" s="513"/>
      <c r="F309" s="513"/>
      <c r="G309" s="513"/>
      <c r="H309" s="513"/>
      <c r="I309" s="513"/>
      <c r="J309" s="513"/>
      <c r="K309" s="513"/>
      <c r="L309" s="513"/>
    </row>
    <row r="310" spans="1:12">
      <c r="A310" s="546" t="s">
        <v>1339</v>
      </c>
      <c r="B310" s="513">
        <f>B303/B302</f>
        <v>1.9473684210526316</v>
      </c>
      <c r="C310" s="513"/>
      <c r="D310" s="513"/>
      <c r="E310" s="513"/>
      <c r="F310" s="513"/>
      <c r="G310" s="513"/>
      <c r="H310" s="513"/>
      <c r="I310" s="513"/>
      <c r="J310" s="513"/>
      <c r="K310" s="513"/>
      <c r="L310" s="513"/>
    </row>
    <row r="311" spans="1:12">
      <c r="A311" s="546" t="s">
        <v>84</v>
      </c>
      <c r="B311" s="513">
        <f>B304*B310</f>
        <v>155.78947368421052</v>
      </c>
      <c r="C311" s="513" t="s">
        <v>212</v>
      </c>
      <c r="D311" s="513"/>
      <c r="E311" s="513"/>
      <c r="F311" s="513"/>
      <c r="G311" s="513"/>
      <c r="H311" s="513"/>
      <c r="I311" s="513"/>
      <c r="J311" s="513"/>
      <c r="K311" s="513"/>
      <c r="L311" s="513"/>
    </row>
    <row r="312" spans="1:12">
      <c r="A312" s="546" t="s">
        <v>86</v>
      </c>
      <c r="B312" s="513">
        <f>B305*B310</f>
        <v>68.15789473684211</v>
      </c>
      <c r="C312" s="513" t="s">
        <v>212</v>
      </c>
      <c r="D312" s="513"/>
      <c r="E312" s="513"/>
      <c r="F312" s="513"/>
      <c r="G312" s="513"/>
      <c r="H312" s="513"/>
      <c r="I312" s="513"/>
      <c r="J312" s="513"/>
      <c r="K312" s="513"/>
      <c r="L312" s="513"/>
    </row>
    <row r="313" spans="1:12">
      <c r="A313" s="546" t="s">
        <v>1340</v>
      </c>
      <c r="B313" s="513">
        <f>B311*B312</f>
        <v>10618.282548476454</v>
      </c>
      <c r="C313" s="513" t="s">
        <v>215</v>
      </c>
      <c r="D313" s="513" t="s">
        <v>89</v>
      </c>
      <c r="E313" s="513"/>
      <c r="F313" s="513"/>
      <c r="G313" s="513"/>
      <c r="H313" s="513"/>
      <c r="I313" s="513"/>
      <c r="J313" s="513"/>
      <c r="K313" s="513"/>
      <c r="L313" s="513"/>
    </row>
    <row r="314" spans="1:12">
      <c r="A314" s="546" t="s">
        <v>1367</v>
      </c>
      <c r="B314" s="513">
        <f>B309*B310^2</f>
        <v>10618.282548476456</v>
      </c>
      <c r="C314" s="513" t="s">
        <v>215</v>
      </c>
      <c r="D314" s="513" t="s">
        <v>1368</v>
      </c>
      <c r="E314" s="513"/>
      <c r="F314" s="513"/>
      <c r="G314" s="513"/>
      <c r="H314" s="513"/>
      <c r="I314" s="513"/>
      <c r="J314" s="513"/>
      <c r="K314" s="513"/>
      <c r="L314" s="513"/>
    </row>
    <row r="315" spans="1:12">
      <c r="A315" s="546" t="s">
        <v>1341</v>
      </c>
      <c r="B315" s="513">
        <f>B314/B309</f>
        <v>3.7922437673130203</v>
      </c>
      <c r="C315" s="513"/>
      <c r="D315" s="513" t="s">
        <v>1369</v>
      </c>
      <c r="E315" s="513"/>
      <c r="F315" s="513"/>
      <c r="G315" s="513"/>
      <c r="H315" s="513"/>
      <c r="I315" s="513"/>
      <c r="J315" s="513"/>
      <c r="K315" s="513"/>
      <c r="L315" s="513"/>
    </row>
    <row r="316" spans="1:12">
      <c r="A316" s="546" t="s">
        <v>1342</v>
      </c>
      <c r="B316" s="513">
        <f>1/B315</f>
        <v>0.26369612856099339</v>
      </c>
      <c r="C316" s="513"/>
      <c r="D316" s="513" t="s">
        <v>1370</v>
      </c>
      <c r="E316" s="513"/>
      <c r="F316" s="513"/>
      <c r="G316" s="513"/>
      <c r="H316" s="513"/>
      <c r="I316" s="513"/>
      <c r="J316" s="513"/>
      <c r="K316" s="513"/>
      <c r="L316" s="513"/>
    </row>
    <row r="317" spans="1:12">
      <c r="A317" s="546" t="s">
        <v>1371</v>
      </c>
      <c r="B317" s="381">
        <f>B306*B316</f>
        <v>0.26369612856099339</v>
      </c>
      <c r="C317" s="513"/>
      <c r="D317" s="513" t="s">
        <v>1372</v>
      </c>
      <c r="E317" s="513"/>
      <c r="F317" s="513"/>
      <c r="G317" s="513"/>
      <c r="H317" s="513"/>
      <c r="I317" s="513"/>
      <c r="J317" s="513"/>
      <c r="K317" s="513"/>
      <c r="L317" s="513"/>
    </row>
    <row r="318" spans="1:12">
      <c r="A318" s="546" t="s">
        <v>1373</v>
      </c>
      <c r="B318" s="513">
        <f>1/B316</f>
        <v>3.7922437673130198</v>
      </c>
      <c r="C318" s="513"/>
      <c r="D318" s="513" t="s">
        <v>1374</v>
      </c>
      <c r="E318" s="513"/>
      <c r="F318" s="513"/>
      <c r="G318" s="513"/>
      <c r="H318" s="513"/>
      <c r="I318" s="513"/>
      <c r="J318" s="513"/>
      <c r="K318" s="513"/>
      <c r="L318" s="513"/>
    </row>
    <row r="319" spans="1:12">
      <c r="A319" s="546" t="s">
        <v>1361</v>
      </c>
      <c r="B319" s="513">
        <f>B307*B318</f>
        <v>6.3204062788550328E-2</v>
      </c>
      <c r="C319" s="513"/>
      <c r="D319" s="513" t="s">
        <v>1375</v>
      </c>
      <c r="E319" s="513"/>
      <c r="F319" s="513"/>
      <c r="G319" s="513"/>
      <c r="H319" s="513"/>
      <c r="I319" s="513"/>
      <c r="J319" s="513"/>
      <c r="K319" s="513"/>
      <c r="L319" s="513"/>
    </row>
    <row r="320" spans="1:12">
      <c r="A320" s="546" t="s">
        <v>1376</v>
      </c>
      <c r="B320" s="555" t="str">
        <f>"1/" &amp; ROUND(1/B319,0)</f>
        <v>1/16</v>
      </c>
      <c r="C320" s="513" t="s">
        <v>1377</v>
      </c>
      <c r="D320" s="513"/>
      <c r="E320" s="513"/>
      <c r="F320" s="513"/>
      <c r="G320" s="513"/>
      <c r="H320" s="513"/>
      <c r="I320" s="513"/>
      <c r="J320" s="513"/>
      <c r="K320" s="513"/>
      <c r="L320" s="513"/>
    </row>
    <row r="321" spans="1:12">
      <c r="A321" s="513"/>
      <c r="B321" s="513"/>
      <c r="C321" s="513"/>
      <c r="D321" s="513"/>
      <c r="E321" s="513"/>
      <c r="F321" s="513"/>
      <c r="G321" s="513"/>
      <c r="H321" s="513"/>
      <c r="I321" s="513"/>
      <c r="J321" s="513"/>
      <c r="K321" s="513"/>
      <c r="L321" s="513"/>
    </row>
    <row r="322" spans="1:12">
      <c r="A322" s="513"/>
      <c r="B322" s="513"/>
      <c r="C322" s="513"/>
      <c r="D322" s="513"/>
      <c r="E322" s="513"/>
      <c r="F322" s="513"/>
      <c r="G322" s="513"/>
      <c r="H322" s="513"/>
      <c r="I322" s="513"/>
      <c r="J322" s="513"/>
      <c r="K322" s="513"/>
      <c r="L322" s="513"/>
    </row>
    <row r="323" spans="1:12">
      <c r="K323" s="513"/>
      <c r="L323" s="513"/>
    </row>
    <row r="324" spans="1:12">
      <c r="K324" s="513"/>
      <c r="L324" s="513"/>
    </row>
    <row r="325" spans="1:12">
      <c r="A325" s="513" t="s">
        <v>1378</v>
      </c>
      <c r="B325" s="513"/>
      <c r="C325" s="513"/>
      <c r="D325" s="513"/>
      <c r="E325" s="513"/>
      <c r="F325" s="513"/>
      <c r="G325" s="513"/>
      <c r="H325" s="513"/>
      <c r="I325" s="513"/>
      <c r="J325" s="513"/>
      <c r="K325" s="513"/>
      <c r="L325" s="513"/>
    </row>
    <row r="326" spans="1:12">
      <c r="A326" s="513" t="s">
        <v>1379</v>
      </c>
      <c r="B326" s="513"/>
      <c r="C326" s="513"/>
      <c r="D326" s="513"/>
      <c r="E326" s="513"/>
      <c r="F326" s="513"/>
      <c r="G326" s="513"/>
      <c r="H326" s="513"/>
      <c r="I326" s="513"/>
      <c r="J326" s="513"/>
      <c r="K326" s="513"/>
      <c r="L326" s="513"/>
    </row>
    <row r="327" spans="1:12">
      <c r="A327" s="513" t="s">
        <v>1380</v>
      </c>
      <c r="B327" s="513"/>
      <c r="C327" s="513"/>
      <c r="D327" s="513"/>
      <c r="E327" s="513"/>
      <c r="F327" s="513"/>
      <c r="G327" s="513"/>
      <c r="H327" s="513"/>
      <c r="I327" s="513"/>
      <c r="J327" s="513"/>
      <c r="K327" s="513"/>
      <c r="L327" s="513"/>
    </row>
    <row r="328" spans="1:12">
      <c r="A328" s="513"/>
      <c r="B328" s="513"/>
      <c r="C328" s="513"/>
      <c r="D328" s="513"/>
      <c r="E328" s="513"/>
      <c r="F328" s="513"/>
      <c r="G328" s="513"/>
      <c r="H328" s="513"/>
      <c r="I328" s="513"/>
      <c r="J328" s="513"/>
      <c r="K328" s="513"/>
      <c r="L328" s="513"/>
    </row>
    <row r="329" spans="1:12">
      <c r="A329" s="513" t="s">
        <v>1381</v>
      </c>
      <c r="B329" s="513"/>
      <c r="C329" s="513"/>
      <c r="D329" s="513"/>
      <c r="E329" s="513"/>
      <c r="F329" s="513"/>
      <c r="G329" s="513"/>
      <c r="H329" s="513"/>
      <c r="I329" s="513"/>
      <c r="J329" s="513"/>
      <c r="K329" s="513"/>
      <c r="L329" s="513"/>
    </row>
    <row r="330" spans="1:12">
      <c r="A330" s="513"/>
      <c r="B330" s="513"/>
      <c r="C330" s="513"/>
      <c r="D330" s="513"/>
      <c r="E330" s="513"/>
      <c r="F330" s="513"/>
      <c r="G330" s="513"/>
      <c r="H330" s="513"/>
      <c r="I330" s="513"/>
      <c r="J330" s="513"/>
      <c r="K330" s="513"/>
      <c r="L330" s="513"/>
    </row>
    <row r="331" spans="1:12">
      <c r="A331" s="546" t="s">
        <v>1353</v>
      </c>
      <c r="B331" s="503">
        <v>1</v>
      </c>
      <c r="C331" s="513"/>
      <c r="D331" s="513"/>
      <c r="E331" s="513"/>
      <c r="F331" s="513"/>
      <c r="G331" s="513"/>
      <c r="H331" s="513"/>
      <c r="I331" s="513"/>
      <c r="J331" s="513"/>
      <c r="K331" s="513"/>
      <c r="L331" s="513"/>
    </row>
    <row r="332" spans="1:12">
      <c r="A332" s="546" t="s">
        <v>1360</v>
      </c>
      <c r="B332" s="503">
        <v>0.4</v>
      </c>
      <c r="C332" s="513"/>
      <c r="D332" s="513"/>
      <c r="E332" s="513"/>
      <c r="F332" s="513"/>
      <c r="G332" s="513"/>
      <c r="H332" s="513"/>
      <c r="I332" s="513"/>
      <c r="J332" s="513"/>
      <c r="K332" s="513"/>
      <c r="L332" s="513"/>
    </row>
    <row r="333" spans="1:12">
      <c r="A333" s="546" t="s">
        <v>84</v>
      </c>
      <c r="B333" s="554">
        <v>260</v>
      </c>
      <c r="C333" s="513" t="s">
        <v>212</v>
      </c>
      <c r="D333" s="513"/>
      <c r="E333" s="513"/>
      <c r="F333" s="513"/>
      <c r="G333" s="513"/>
      <c r="H333" s="513"/>
      <c r="I333" s="513"/>
      <c r="J333" s="513"/>
      <c r="K333" s="513"/>
      <c r="L333" s="513"/>
    </row>
    <row r="334" spans="1:12">
      <c r="A334" s="546" t="s">
        <v>86</v>
      </c>
      <c r="B334" s="554">
        <v>180</v>
      </c>
      <c r="C334" s="513" t="s">
        <v>212</v>
      </c>
      <c r="D334" s="513"/>
      <c r="E334" s="513"/>
      <c r="F334" s="513"/>
      <c r="G334" s="513"/>
      <c r="H334" s="513"/>
      <c r="I334" s="513"/>
      <c r="J334" s="513"/>
      <c r="K334" s="513"/>
      <c r="L334" s="513"/>
    </row>
    <row r="335" spans="1:12">
      <c r="A335" s="546" t="s">
        <v>1382</v>
      </c>
      <c r="B335" s="554">
        <v>360</v>
      </c>
      <c r="C335" s="513" t="s">
        <v>212</v>
      </c>
      <c r="D335" s="513"/>
      <c r="E335" s="513"/>
      <c r="F335" s="513"/>
      <c r="G335" s="513"/>
      <c r="H335" s="513"/>
      <c r="I335" s="513"/>
      <c r="J335" s="513"/>
      <c r="K335" s="513"/>
      <c r="L335" s="513"/>
    </row>
    <row r="336" spans="1:12">
      <c r="A336" s="546"/>
      <c r="B336" s="513"/>
      <c r="C336" s="513"/>
      <c r="D336" s="513"/>
      <c r="E336" s="513"/>
      <c r="F336" s="513"/>
      <c r="G336" s="513"/>
      <c r="H336" s="513"/>
      <c r="I336" s="513"/>
      <c r="J336" s="513"/>
      <c r="K336" s="513"/>
      <c r="L336" s="513"/>
    </row>
    <row r="337" spans="1:12">
      <c r="A337" s="546" t="s">
        <v>1342</v>
      </c>
      <c r="B337" s="504">
        <f>B332/B331</f>
        <v>0.4</v>
      </c>
      <c r="C337" s="513"/>
      <c r="D337" s="513" t="s">
        <v>1383</v>
      </c>
      <c r="E337" s="513"/>
      <c r="F337" s="513"/>
      <c r="G337" s="513"/>
      <c r="H337" s="513"/>
      <c r="I337" s="513"/>
      <c r="J337" s="513"/>
      <c r="K337" s="513"/>
      <c r="L337" s="513"/>
    </row>
    <row r="338" spans="1:12">
      <c r="A338" s="546" t="s">
        <v>1341</v>
      </c>
      <c r="B338" s="556">
        <f>1/B337</f>
        <v>2.5</v>
      </c>
      <c r="C338" s="513"/>
      <c r="D338" s="513" t="s">
        <v>1523</v>
      </c>
      <c r="E338" s="513"/>
      <c r="F338" s="513"/>
      <c r="G338" s="513"/>
      <c r="H338" s="513"/>
      <c r="I338" s="513"/>
      <c r="J338" s="513"/>
      <c r="K338" s="513"/>
      <c r="L338" s="513"/>
    </row>
    <row r="339" spans="1:12">
      <c r="A339" s="546" t="s">
        <v>1339</v>
      </c>
      <c r="B339" s="556">
        <f>SQRT(B338)</f>
        <v>1.5811388300841898</v>
      </c>
      <c r="C339" s="513"/>
      <c r="D339" s="513" t="s">
        <v>1384</v>
      </c>
      <c r="E339" s="513"/>
      <c r="F339" s="513"/>
      <c r="G339" s="513"/>
      <c r="H339" s="513"/>
      <c r="I339" s="513"/>
      <c r="J339" s="513"/>
      <c r="K339" s="513"/>
      <c r="L339" s="513"/>
    </row>
    <row r="340" spans="1:12">
      <c r="A340" s="546" t="s">
        <v>1385</v>
      </c>
      <c r="B340" s="552">
        <f>B335/B339</f>
        <v>227.68399153212329</v>
      </c>
      <c r="C340" s="513" t="s">
        <v>212</v>
      </c>
      <c r="D340" s="513" t="s">
        <v>1386</v>
      </c>
      <c r="E340" s="513"/>
      <c r="F340" s="513"/>
      <c r="G340" s="513"/>
      <c r="H340" s="513"/>
      <c r="I340" s="513"/>
      <c r="J340" s="513"/>
      <c r="K340" s="513"/>
      <c r="L340" s="513"/>
    </row>
    <row r="341" spans="1:12">
      <c r="A341" s="546" t="s">
        <v>71</v>
      </c>
      <c r="B341" s="552">
        <f>B333/B339</f>
        <v>164.43843832875572</v>
      </c>
      <c r="C341" s="513" t="s">
        <v>212</v>
      </c>
      <c r="D341" s="513"/>
      <c r="E341" s="513"/>
      <c r="F341" s="513"/>
      <c r="G341" s="513"/>
      <c r="H341" s="513"/>
      <c r="I341" s="513"/>
      <c r="J341" s="513"/>
      <c r="K341" s="513"/>
      <c r="L341" s="513"/>
    </row>
    <row r="342" spans="1:12">
      <c r="A342" s="546" t="s">
        <v>77</v>
      </c>
      <c r="B342" s="552">
        <f>B334/B339</f>
        <v>113.84199576606164</v>
      </c>
      <c r="C342" s="513" t="s">
        <v>212</v>
      </c>
      <c r="D342" s="513" t="s">
        <v>1387</v>
      </c>
      <c r="E342" s="513"/>
      <c r="F342" s="513"/>
      <c r="G342" s="513"/>
      <c r="H342" s="513"/>
      <c r="I342" s="513"/>
      <c r="J342" s="513"/>
      <c r="K342" s="513"/>
      <c r="L342" s="513"/>
    </row>
    <row r="343" spans="1:12">
      <c r="A343" s="546" t="s">
        <v>1338</v>
      </c>
      <c r="B343" s="552">
        <f>B341*B342</f>
        <v>18719.999999999996</v>
      </c>
      <c r="C343" s="513" t="s">
        <v>215</v>
      </c>
      <c r="D343" s="513"/>
      <c r="E343" s="513"/>
      <c r="F343" s="513"/>
      <c r="G343" s="513"/>
      <c r="H343" s="513"/>
      <c r="I343" s="513"/>
      <c r="J343" s="513"/>
      <c r="K343" s="513"/>
      <c r="L343" s="513"/>
    </row>
    <row r="344" spans="1:12">
      <c r="A344" s="546" t="s">
        <v>1388</v>
      </c>
      <c r="B344" s="552">
        <f>B333*B334</f>
        <v>46800</v>
      </c>
      <c r="C344" s="513" t="s">
        <v>215</v>
      </c>
      <c r="D344" s="513"/>
      <c r="E344" s="513"/>
      <c r="F344" s="513"/>
      <c r="G344" s="513"/>
      <c r="H344" s="513"/>
      <c r="I344" s="513"/>
      <c r="J344" s="513"/>
      <c r="K344" s="513"/>
      <c r="L344" s="513"/>
    </row>
    <row r="345" spans="1:12">
      <c r="A345" s="513"/>
      <c r="B345" s="505"/>
      <c r="C345" s="513"/>
      <c r="D345" s="513"/>
      <c r="E345" s="513"/>
      <c r="F345" s="513"/>
      <c r="G345" s="513"/>
      <c r="H345" s="513"/>
      <c r="I345" s="513"/>
      <c r="J345" s="513"/>
      <c r="K345" s="513"/>
      <c r="L345" s="513"/>
    </row>
    <row r="346" spans="1:12">
      <c r="A346" s="298" t="str">
        <f>"Das Bild war ursprünglich " &amp;ROUND(B341,2)&amp;" mal "&amp;ROUND(B342,2)&amp;" cm, der Projektionsabstand "&amp;ROUND(B340,2)&amp;" cm groß"</f>
        <v>Das Bild war ursprünglich 164,44 mal 113,84 cm, der Projektionsabstand 227,68 cm groß</v>
      </c>
      <c r="C346" s="513"/>
      <c r="D346" s="513"/>
      <c r="E346" s="513"/>
      <c r="F346" s="513"/>
      <c r="G346" s="513"/>
      <c r="H346" s="513"/>
      <c r="I346" s="513"/>
      <c r="J346" s="513"/>
    </row>
    <row r="350" spans="1:12">
      <c r="A350" s="507" t="s">
        <v>1390</v>
      </c>
    </row>
    <row r="351" spans="1:12">
      <c r="A351" s="507" t="s">
        <v>1391</v>
      </c>
    </row>
    <row r="352" spans="1:12">
      <c r="A352" s="507" t="s">
        <v>1392</v>
      </c>
    </row>
    <row r="353" spans="1:3">
      <c r="A353" s="507" t="s">
        <v>1393</v>
      </c>
    </row>
    <row r="355" spans="1:3">
      <c r="A355" s="253" t="s">
        <v>1525</v>
      </c>
      <c r="B355" s="590">
        <v>2.2999999999999998</v>
      </c>
      <c r="C355" s="518" t="s">
        <v>68</v>
      </c>
    </row>
    <row r="356" spans="1:3">
      <c r="A356" s="253" t="s">
        <v>1526</v>
      </c>
      <c r="B356" s="590">
        <v>1.6</v>
      </c>
      <c r="C356" s="518" t="s">
        <v>68</v>
      </c>
    </row>
    <row r="357" spans="1:3">
      <c r="A357" s="253"/>
    </row>
    <row r="358" spans="1:3">
      <c r="A358" s="253" t="s">
        <v>1527</v>
      </c>
      <c r="B358" s="518">
        <f>B355+B356</f>
        <v>3.9</v>
      </c>
      <c r="C358" s="518" t="s">
        <v>68</v>
      </c>
    </row>
    <row r="359" spans="1:3">
      <c r="A359" s="253" t="s">
        <v>82</v>
      </c>
      <c r="B359" s="557">
        <f>B358/B355</f>
        <v>1.6956521739130437</v>
      </c>
    </row>
    <row r="360" spans="1:3">
      <c r="A360" s="253" t="s">
        <v>92</v>
      </c>
      <c r="B360" s="558">
        <f>(1/B359)^2</f>
        <v>0.34779750164365536</v>
      </c>
    </row>
    <row r="361" spans="1:3">
      <c r="A361" s="253" t="s">
        <v>92</v>
      </c>
      <c r="B361" s="592">
        <f>B360</f>
        <v>0.34779750164365536</v>
      </c>
    </row>
    <row r="362" spans="1:3">
      <c r="A362" s="253"/>
    </row>
    <row r="363" spans="1:3">
      <c r="A363" s="440" t="str">
        <f>"Der weiter entfernte Gegenstand erhält nur " &amp; ROUND(100*B361,2) &amp; " Prozent des nahen Gegenstands."</f>
        <v>Der weiter entfernte Gegenstand erhält nur 34,78 Prozent des nahen Gegenstands.</v>
      </c>
    </row>
    <row r="365" spans="1:3">
      <c r="A365" s="253"/>
    </row>
    <row r="368" spans="1:3">
      <c r="A368" s="253"/>
    </row>
    <row r="369" spans="1:5">
      <c r="A369" s="253"/>
    </row>
    <row r="370" spans="1:5">
      <c r="A370" s="253"/>
    </row>
    <row r="371" spans="1:5">
      <c r="A371" s="518" t="s">
        <v>1416</v>
      </c>
    </row>
    <row r="372" spans="1:5">
      <c r="A372" s="518" t="s">
        <v>1417</v>
      </c>
    </row>
    <row r="373" spans="1:5">
      <c r="A373" s="518" t="s">
        <v>1418</v>
      </c>
    </row>
    <row r="374" spans="1:5">
      <c r="A374" s="518" t="s">
        <v>1419</v>
      </c>
    </row>
    <row r="375" spans="1:5">
      <c r="A375" s="518" t="s">
        <v>1420</v>
      </c>
    </row>
    <row r="376" spans="1:5">
      <c r="A376" s="518" t="s">
        <v>1421</v>
      </c>
    </row>
    <row r="378" spans="1:5">
      <c r="A378" s="253" t="s">
        <v>1422</v>
      </c>
      <c r="B378" s="559">
        <v>5</v>
      </c>
      <c r="C378" s="518" t="s">
        <v>762</v>
      </c>
    </row>
    <row r="379" spans="1:5">
      <c r="A379" s="253" t="s">
        <v>1423</v>
      </c>
      <c r="B379" s="559">
        <f>16/9</f>
        <v>1.7777777777777777</v>
      </c>
    </row>
    <row r="380" spans="1:5">
      <c r="A380" s="253" t="s">
        <v>520</v>
      </c>
      <c r="B380" s="560">
        <v>3.8</v>
      </c>
      <c r="C380" s="518" t="s">
        <v>762</v>
      </c>
      <c r="E380" s="545"/>
    </row>
    <row r="381" spans="1:5">
      <c r="A381" s="253" t="s">
        <v>526</v>
      </c>
      <c r="B381" s="526">
        <f>B380/B379</f>
        <v>2.1375000000000002</v>
      </c>
      <c r="C381" s="518" t="s">
        <v>762</v>
      </c>
      <c r="E381" s="508"/>
    </row>
    <row r="382" spans="1:5">
      <c r="A382" s="253" t="s">
        <v>354</v>
      </c>
      <c r="B382" s="518">
        <f>B380*B381</f>
        <v>8.1225000000000005</v>
      </c>
      <c r="C382" s="518" t="s">
        <v>80</v>
      </c>
    </row>
    <row r="383" spans="1:5">
      <c r="A383" s="253" t="s">
        <v>1424</v>
      </c>
      <c r="B383" s="559">
        <f>1/8</f>
        <v>0.125</v>
      </c>
      <c r="C383" s="518" t="s">
        <v>1355</v>
      </c>
    </row>
    <row r="384" spans="1:5">
      <c r="A384" s="253"/>
    </row>
    <row r="385" spans="1:4">
      <c r="A385" s="253" t="s">
        <v>1309</v>
      </c>
      <c r="B385" s="559">
        <v>6.84</v>
      </c>
      <c r="C385" s="518" t="s">
        <v>762</v>
      </c>
    </row>
    <row r="386" spans="1:4">
      <c r="A386" s="253" t="s">
        <v>1425</v>
      </c>
      <c r="B386" s="518">
        <f>B385/B378</f>
        <v>1.3679999999999999</v>
      </c>
      <c r="D386" s="518">
        <f>B386^2</f>
        <v>1.8714239999999998</v>
      </c>
    </row>
    <row r="387" spans="1:4">
      <c r="A387" s="253" t="s">
        <v>84</v>
      </c>
      <c r="B387" s="561">
        <f>B380*B386</f>
        <v>5.1983999999999995</v>
      </c>
      <c r="C387" s="518" t="s">
        <v>762</v>
      </c>
    </row>
    <row r="388" spans="1:4">
      <c r="A388" s="253" t="s">
        <v>86</v>
      </c>
      <c r="B388" s="526">
        <f>B381*B386</f>
        <v>2.9241000000000001</v>
      </c>
      <c r="C388" s="518" t="s">
        <v>762</v>
      </c>
    </row>
    <row r="389" spans="1:4">
      <c r="A389" s="253" t="s">
        <v>1340</v>
      </c>
      <c r="B389" s="591">
        <f>B387*B388</f>
        <v>15.20064144</v>
      </c>
      <c r="C389" s="518" t="s">
        <v>80</v>
      </c>
    </row>
    <row r="390" spans="1:4">
      <c r="A390" s="253" t="s">
        <v>1426</v>
      </c>
      <c r="B390" s="518">
        <f>B389/B382</f>
        <v>1.871424</v>
      </c>
    </row>
    <row r="391" spans="1:4">
      <c r="A391" s="253" t="s">
        <v>94</v>
      </c>
      <c r="B391" s="509">
        <f>1/B390</f>
        <v>0.53435245032659617</v>
      </c>
    </row>
    <row r="392" spans="1:4">
      <c r="A392" s="253" t="s">
        <v>1361</v>
      </c>
      <c r="B392" s="518">
        <f>B383*B390</f>
        <v>0.233928</v>
      </c>
      <c r="C392" s="518" t="s">
        <v>1355</v>
      </c>
      <c r="D392" s="562">
        <f>B392</f>
        <v>0.233928</v>
      </c>
    </row>
    <row r="393" spans="1:4">
      <c r="A393" s="253"/>
    </row>
    <row r="395" spans="1:4">
      <c r="A395" s="518" t="s">
        <v>1394</v>
      </c>
    </row>
    <row r="396" spans="1:4">
      <c r="A396" s="518" t="s">
        <v>1395</v>
      </c>
    </row>
    <row r="397" spans="1:4">
      <c r="A397" s="518" t="s">
        <v>1396</v>
      </c>
    </row>
    <row r="398" spans="1:4">
      <c r="A398" s="518" t="s">
        <v>1397</v>
      </c>
    </row>
    <row r="399" spans="1:4">
      <c r="A399" s="518" t="s">
        <v>1398</v>
      </c>
    </row>
    <row r="401" spans="1:3">
      <c r="A401" s="253" t="s">
        <v>1354</v>
      </c>
      <c r="B401" s="559">
        <v>24</v>
      </c>
      <c r="C401" s="518" t="s">
        <v>1377</v>
      </c>
    </row>
    <row r="402" spans="1:3">
      <c r="A402" s="253" t="s">
        <v>1361</v>
      </c>
      <c r="B402" s="559">
        <v>18</v>
      </c>
      <c r="C402" s="518" t="s">
        <v>1377</v>
      </c>
    </row>
    <row r="403" spans="1:3">
      <c r="A403" s="253" t="s">
        <v>84</v>
      </c>
      <c r="B403" s="559">
        <v>18</v>
      </c>
      <c r="C403" s="518" t="s">
        <v>212</v>
      </c>
    </row>
    <row r="404" spans="1:3">
      <c r="A404" s="253" t="s">
        <v>86</v>
      </c>
      <c r="B404" s="559">
        <v>24</v>
      </c>
      <c r="C404" s="518" t="s">
        <v>212</v>
      </c>
    </row>
    <row r="405" spans="1:3">
      <c r="A405" s="253"/>
    </row>
    <row r="406" spans="1:3">
      <c r="A406" s="253" t="s">
        <v>1399</v>
      </c>
      <c r="B406" s="526">
        <f>B402/B401</f>
        <v>0.75</v>
      </c>
    </row>
    <row r="407" spans="1:3">
      <c r="A407" s="253" t="s">
        <v>90</v>
      </c>
      <c r="B407" s="526">
        <f>B406</f>
        <v>0.75</v>
      </c>
    </row>
    <row r="408" spans="1:3">
      <c r="A408" s="253" t="s">
        <v>1427</v>
      </c>
      <c r="B408" s="518">
        <f>SQRT(B407)</f>
        <v>0.8660254037844386</v>
      </c>
    </row>
    <row r="409" spans="1:3">
      <c r="A409" s="253"/>
    </row>
    <row r="410" spans="1:3">
      <c r="A410" s="253" t="s">
        <v>71</v>
      </c>
      <c r="B410" s="525">
        <f>B403/B408</f>
        <v>20.784609690826528</v>
      </c>
      <c r="C410" s="518" t="s">
        <v>212</v>
      </c>
    </row>
    <row r="411" spans="1:3">
      <c r="A411" s="253" t="s">
        <v>77</v>
      </c>
      <c r="B411" s="525">
        <f>B404/B408</f>
        <v>27.712812921102039</v>
      </c>
      <c r="C411" s="518" t="s">
        <v>212</v>
      </c>
    </row>
    <row r="412" spans="1:3">
      <c r="A412" s="253"/>
    </row>
    <row r="413" spans="1:3">
      <c r="A413" s="253"/>
    </row>
    <row r="414" spans="1:3">
      <c r="A414" s="253"/>
    </row>
    <row r="416" spans="1:3">
      <c r="A416" s="253" t="s">
        <v>1428</v>
      </c>
    </row>
    <row r="417" spans="1:17">
      <c r="B417" s="518" t="s">
        <v>1429</v>
      </c>
    </row>
    <row r="418" spans="1:17">
      <c r="B418" s="518" t="s">
        <v>1430</v>
      </c>
    </row>
    <row r="419" spans="1:17">
      <c r="B419" s="518" t="s">
        <v>1389</v>
      </c>
    </row>
    <row r="420" spans="1:17">
      <c r="B420" s="518" t="s">
        <v>1431</v>
      </c>
    </row>
    <row r="428" spans="1:17">
      <c r="A428" s="512" t="s">
        <v>1400</v>
      </c>
      <c r="B428" s="512"/>
      <c r="C428" s="512"/>
      <c r="D428" s="512"/>
      <c r="E428" s="512"/>
      <c r="F428" s="512"/>
      <c r="G428" s="512"/>
      <c r="H428" s="512"/>
      <c r="I428" s="512"/>
      <c r="J428" s="512"/>
      <c r="K428" s="512"/>
      <c r="L428" s="512"/>
      <c r="M428" s="512"/>
      <c r="N428" s="512"/>
      <c r="O428" s="512"/>
      <c r="P428" s="512"/>
      <c r="Q428" s="512"/>
    </row>
    <row r="429" spans="1:17">
      <c r="A429" s="512" t="s">
        <v>1401</v>
      </c>
      <c r="B429" s="512"/>
      <c r="C429" s="512"/>
      <c r="D429" s="512"/>
      <c r="E429" s="512"/>
      <c r="F429" s="512"/>
      <c r="G429" s="512"/>
      <c r="H429" s="512"/>
      <c r="I429" s="512"/>
      <c r="J429" s="512"/>
      <c r="K429" s="512"/>
      <c r="L429" s="512"/>
      <c r="M429" s="512"/>
      <c r="N429" s="512"/>
      <c r="O429" s="512"/>
      <c r="P429" s="512"/>
      <c r="Q429" s="512"/>
    </row>
    <row r="430" spans="1:17">
      <c r="A430" s="512" t="s">
        <v>1402</v>
      </c>
      <c r="B430" s="512"/>
      <c r="C430" s="512"/>
      <c r="D430" s="512"/>
      <c r="E430" s="512"/>
      <c r="F430" s="512"/>
      <c r="G430" s="512"/>
      <c r="H430" s="512"/>
      <c r="I430" s="512"/>
      <c r="J430" s="512"/>
      <c r="K430" s="512"/>
      <c r="L430" s="512"/>
      <c r="M430" s="512"/>
      <c r="N430" s="512"/>
      <c r="O430" s="512"/>
      <c r="P430" s="512"/>
      <c r="Q430" s="512"/>
    </row>
    <row r="431" spans="1:17">
      <c r="A431" s="512"/>
      <c r="B431" s="512"/>
      <c r="C431" s="512"/>
      <c r="D431" s="512"/>
      <c r="E431" s="512"/>
      <c r="F431" s="512"/>
      <c r="G431" s="512"/>
      <c r="H431" s="512"/>
      <c r="I431" s="512"/>
      <c r="J431" s="512"/>
      <c r="K431" s="512"/>
      <c r="L431" s="512"/>
      <c r="M431" s="512"/>
      <c r="N431" s="512"/>
      <c r="O431" s="512"/>
      <c r="P431" s="512"/>
      <c r="Q431" s="512"/>
    </row>
    <row r="432" spans="1:17">
      <c r="A432" s="349" t="s">
        <v>1403</v>
      </c>
      <c r="B432" s="593">
        <v>10</v>
      </c>
      <c r="C432" s="595">
        <f>B432+1</f>
        <v>11</v>
      </c>
      <c r="D432" s="595">
        <f t="shared" ref="D432:Q432" si="0">C432+1</f>
        <v>12</v>
      </c>
      <c r="E432" s="595">
        <f t="shared" si="0"/>
        <v>13</v>
      </c>
      <c r="F432" s="595">
        <f t="shared" si="0"/>
        <v>14</v>
      </c>
      <c r="G432" s="595">
        <f t="shared" si="0"/>
        <v>15</v>
      </c>
      <c r="H432" s="595">
        <f t="shared" si="0"/>
        <v>16</v>
      </c>
      <c r="I432" s="595">
        <f t="shared" si="0"/>
        <v>17</v>
      </c>
      <c r="J432" s="595">
        <f t="shared" si="0"/>
        <v>18</v>
      </c>
      <c r="K432" s="595">
        <f t="shared" si="0"/>
        <v>19</v>
      </c>
      <c r="L432" s="595">
        <f t="shared" si="0"/>
        <v>20</v>
      </c>
      <c r="M432" s="595">
        <f t="shared" si="0"/>
        <v>21</v>
      </c>
      <c r="N432" s="595">
        <f t="shared" si="0"/>
        <v>22</v>
      </c>
      <c r="O432" s="595">
        <f t="shared" si="0"/>
        <v>23</v>
      </c>
      <c r="P432" s="595">
        <f t="shared" si="0"/>
        <v>24</v>
      </c>
      <c r="Q432" s="595">
        <f t="shared" si="0"/>
        <v>25</v>
      </c>
    </row>
    <row r="433" spans="1:17">
      <c r="A433" s="349" t="s">
        <v>1404</v>
      </c>
      <c r="B433" s="594">
        <v>1</v>
      </c>
      <c r="C433" s="596">
        <f t="shared" ref="C433:K433" si="1">1/((C432/$B$432)^2)</f>
        <v>0.82644628099173545</v>
      </c>
      <c r="D433" s="596">
        <f t="shared" si="1"/>
        <v>0.69444444444444442</v>
      </c>
      <c r="E433" s="596">
        <f t="shared" si="1"/>
        <v>0.59171597633136086</v>
      </c>
      <c r="F433" s="596">
        <f t="shared" si="1"/>
        <v>0.51020408163265318</v>
      </c>
      <c r="G433" s="596">
        <f t="shared" si="1"/>
        <v>0.44444444444444442</v>
      </c>
      <c r="H433" s="596">
        <f t="shared" si="1"/>
        <v>0.39062499999999994</v>
      </c>
      <c r="I433" s="596">
        <f t="shared" si="1"/>
        <v>0.34602076124567477</v>
      </c>
      <c r="J433" s="596">
        <f t="shared" si="1"/>
        <v>0.30864197530864196</v>
      </c>
      <c r="K433" s="596">
        <f t="shared" si="1"/>
        <v>0.2770083102493075</v>
      </c>
      <c r="L433" s="596">
        <f>1/((L432/$B$432)^2)</f>
        <v>0.25</v>
      </c>
      <c r="M433" s="596">
        <f t="shared" ref="M433:Q433" si="2">1/((M432/$B$432)^2)</f>
        <v>0.22675736961451246</v>
      </c>
      <c r="N433" s="596">
        <f t="shared" si="2"/>
        <v>0.20661157024793386</v>
      </c>
      <c r="O433" s="596">
        <f t="shared" si="2"/>
        <v>0.18903591682419663</v>
      </c>
      <c r="P433" s="596">
        <f t="shared" si="2"/>
        <v>0.1736111111111111</v>
      </c>
      <c r="Q433" s="596">
        <f t="shared" si="2"/>
        <v>0.16</v>
      </c>
    </row>
    <row r="434" spans="1:17">
      <c r="A434" s="349"/>
      <c r="B434" s="585"/>
      <c r="C434" s="595"/>
      <c r="D434" s="595"/>
      <c r="E434" s="595"/>
      <c r="F434" s="595"/>
      <c r="G434" s="595"/>
      <c r="H434" s="595"/>
      <c r="I434" s="595"/>
      <c r="J434" s="595"/>
      <c r="K434" s="595"/>
      <c r="L434" s="595"/>
      <c r="M434" s="595"/>
      <c r="N434" s="595"/>
      <c r="O434" s="595"/>
      <c r="P434" s="595"/>
      <c r="Q434" s="595"/>
    </row>
    <row r="435" spans="1:17">
      <c r="A435" s="349" t="s">
        <v>82</v>
      </c>
      <c r="B435" s="585"/>
      <c r="C435" s="595">
        <f t="shared" ref="C435:Q435" si="3">C432/$B$432</f>
        <v>1.1000000000000001</v>
      </c>
      <c r="D435" s="595">
        <f t="shared" si="3"/>
        <v>1.2</v>
      </c>
      <c r="E435" s="595">
        <f t="shared" si="3"/>
        <v>1.3</v>
      </c>
      <c r="F435" s="595">
        <f t="shared" si="3"/>
        <v>1.4</v>
      </c>
      <c r="G435" s="595">
        <f t="shared" si="3"/>
        <v>1.5</v>
      </c>
      <c r="H435" s="595">
        <f t="shared" si="3"/>
        <v>1.6</v>
      </c>
      <c r="I435" s="595">
        <f t="shared" si="3"/>
        <v>1.7</v>
      </c>
      <c r="J435" s="595">
        <f t="shared" si="3"/>
        <v>1.8</v>
      </c>
      <c r="K435" s="595">
        <f t="shared" si="3"/>
        <v>1.9</v>
      </c>
      <c r="L435" s="595">
        <f t="shared" si="3"/>
        <v>2</v>
      </c>
      <c r="M435" s="595">
        <f t="shared" si="3"/>
        <v>2.1</v>
      </c>
      <c r="N435" s="595">
        <f t="shared" si="3"/>
        <v>2.2000000000000002</v>
      </c>
      <c r="O435" s="595">
        <f t="shared" si="3"/>
        <v>2.2999999999999998</v>
      </c>
      <c r="P435" s="595">
        <f t="shared" si="3"/>
        <v>2.4</v>
      </c>
      <c r="Q435" s="595">
        <f t="shared" si="3"/>
        <v>2.5</v>
      </c>
    </row>
    <row r="436" spans="1:17">
      <c r="A436" s="349" t="s">
        <v>90</v>
      </c>
      <c r="B436" s="585"/>
      <c r="C436" s="595">
        <f>C435^2</f>
        <v>1.2100000000000002</v>
      </c>
      <c r="D436" s="595">
        <f t="shared" ref="D436:Q436" si="4">D435^2</f>
        <v>1.44</v>
      </c>
      <c r="E436" s="595">
        <f t="shared" si="4"/>
        <v>1.6900000000000002</v>
      </c>
      <c r="F436" s="595">
        <f t="shared" si="4"/>
        <v>1.9599999999999997</v>
      </c>
      <c r="G436" s="595">
        <f t="shared" si="4"/>
        <v>2.25</v>
      </c>
      <c r="H436" s="595">
        <f t="shared" si="4"/>
        <v>2.5600000000000005</v>
      </c>
      <c r="I436" s="595">
        <f t="shared" si="4"/>
        <v>2.8899999999999997</v>
      </c>
      <c r="J436" s="595">
        <f t="shared" si="4"/>
        <v>3.24</v>
      </c>
      <c r="K436" s="595">
        <f t="shared" si="4"/>
        <v>3.61</v>
      </c>
      <c r="L436" s="595">
        <f t="shared" si="4"/>
        <v>4</v>
      </c>
      <c r="M436" s="595">
        <f t="shared" si="4"/>
        <v>4.41</v>
      </c>
      <c r="N436" s="595">
        <f t="shared" si="4"/>
        <v>4.8400000000000007</v>
      </c>
      <c r="O436" s="595">
        <f t="shared" si="4"/>
        <v>5.2899999999999991</v>
      </c>
      <c r="P436" s="595">
        <f t="shared" si="4"/>
        <v>5.76</v>
      </c>
      <c r="Q436" s="595">
        <f t="shared" si="4"/>
        <v>6.25</v>
      </c>
    </row>
    <row r="437" spans="1:17">
      <c r="A437" s="349" t="s">
        <v>92</v>
      </c>
      <c r="B437" s="585"/>
      <c r="C437" s="597">
        <f>1/C436</f>
        <v>0.82644628099173545</v>
      </c>
      <c r="D437" s="597">
        <f t="shared" ref="D437:Q437" si="5">1/D436</f>
        <v>0.69444444444444442</v>
      </c>
      <c r="E437" s="597">
        <f t="shared" si="5"/>
        <v>0.59171597633136086</v>
      </c>
      <c r="F437" s="597">
        <f t="shared" si="5"/>
        <v>0.51020408163265318</v>
      </c>
      <c r="G437" s="597">
        <f t="shared" si="5"/>
        <v>0.44444444444444442</v>
      </c>
      <c r="H437" s="597">
        <f t="shared" si="5"/>
        <v>0.39062499999999994</v>
      </c>
      <c r="I437" s="597">
        <f t="shared" si="5"/>
        <v>0.34602076124567477</v>
      </c>
      <c r="J437" s="597">
        <f t="shared" si="5"/>
        <v>0.30864197530864196</v>
      </c>
      <c r="K437" s="597">
        <f t="shared" si="5"/>
        <v>0.2770083102493075</v>
      </c>
      <c r="L437" s="597">
        <f t="shared" si="5"/>
        <v>0.25</v>
      </c>
      <c r="M437" s="597">
        <f t="shared" si="5"/>
        <v>0.22675736961451246</v>
      </c>
      <c r="N437" s="597">
        <f t="shared" si="5"/>
        <v>0.20661157024793386</v>
      </c>
      <c r="O437" s="597">
        <f t="shared" si="5"/>
        <v>0.18903591682419663</v>
      </c>
      <c r="P437" s="597">
        <f t="shared" si="5"/>
        <v>0.1736111111111111</v>
      </c>
      <c r="Q437" s="597">
        <f t="shared" si="5"/>
        <v>0.16</v>
      </c>
    </row>
    <row r="438" spans="1:17">
      <c r="A438" s="349"/>
      <c r="B438" s="512"/>
      <c r="C438" s="512"/>
      <c r="D438" s="512"/>
      <c r="E438" s="512"/>
      <c r="F438" s="512"/>
      <c r="G438" s="512"/>
      <c r="H438" s="512"/>
      <c r="I438" s="512"/>
      <c r="J438" s="512"/>
      <c r="K438" s="512"/>
      <c r="L438" s="512"/>
      <c r="M438" s="512"/>
      <c r="N438" s="512"/>
      <c r="O438" s="512"/>
      <c r="P438" s="512"/>
      <c r="Q438" s="512"/>
    </row>
    <row r="439" spans="1:17">
      <c r="A439" s="349"/>
      <c r="B439" s="512"/>
      <c r="C439" s="512"/>
      <c r="D439" s="512"/>
      <c r="E439" s="512"/>
      <c r="F439" s="512"/>
      <c r="G439" s="512"/>
      <c r="H439" s="512"/>
      <c r="I439" s="512"/>
      <c r="J439" s="512"/>
      <c r="K439" s="512"/>
      <c r="L439" s="512"/>
      <c r="M439" s="512"/>
      <c r="N439" s="512"/>
      <c r="O439" s="512"/>
      <c r="P439" s="512"/>
      <c r="Q439" s="512"/>
    </row>
    <row r="440" spans="1:17">
      <c r="A440" s="349"/>
      <c r="B440" s="512"/>
      <c r="C440" s="512"/>
      <c r="D440" s="512"/>
      <c r="E440" s="512"/>
      <c r="F440" s="512"/>
      <c r="G440" s="512"/>
      <c r="H440" s="512"/>
      <c r="I440" s="512"/>
      <c r="J440" s="512"/>
      <c r="K440" s="512"/>
      <c r="L440" s="512"/>
      <c r="M440" s="512"/>
      <c r="N440" s="512"/>
      <c r="O440" s="512"/>
      <c r="P440" s="512"/>
      <c r="Q440" s="512"/>
    </row>
    <row r="441" spans="1:17">
      <c r="A441" s="349"/>
      <c r="B441" s="512"/>
      <c r="C441" s="512"/>
      <c r="D441" s="512"/>
      <c r="E441" s="512"/>
      <c r="F441" s="512"/>
      <c r="G441" s="512"/>
      <c r="H441" s="512"/>
      <c r="I441" s="512"/>
      <c r="J441" s="512"/>
      <c r="K441" s="512"/>
      <c r="L441" s="512"/>
      <c r="M441" s="512"/>
      <c r="N441" s="512"/>
      <c r="O441" s="512"/>
      <c r="P441" s="512"/>
      <c r="Q441" s="512"/>
    </row>
    <row r="442" spans="1:17">
      <c r="A442" s="512"/>
      <c r="B442" s="512"/>
      <c r="C442" s="512"/>
      <c r="D442" s="512"/>
      <c r="E442" s="512"/>
      <c r="F442" s="512"/>
      <c r="G442" s="512"/>
      <c r="H442" s="512"/>
      <c r="I442" s="512"/>
      <c r="J442" s="512"/>
      <c r="K442" s="512"/>
      <c r="L442" s="512"/>
      <c r="M442" s="512"/>
      <c r="N442" s="512"/>
      <c r="O442" s="512"/>
      <c r="P442" s="512"/>
      <c r="Q442" s="512"/>
    </row>
    <row r="443" spans="1:17">
      <c r="A443" s="512"/>
      <c r="B443" s="512"/>
      <c r="C443" s="512"/>
      <c r="D443" s="512"/>
      <c r="E443" s="512"/>
      <c r="F443" s="512"/>
      <c r="G443" s="512"/>
      <c r="H443" s="512"/>
      <c r="I443" s="512"/>
      <c r="J443" s="512"/>
      <c r="K443" s="512"/>
      <c r="L443" s="512"/>
      <c r="M443" s="512"/>
      <c r="N443" s="512"/>
      <c r="O443" s="512"/>
      <c r="P443" s="512"/>
      <c r="Q443" s="512"/>
    </row>
    <row r="444" spans="1:17">
      <c r="A444" s="512"/>
      <c r="B444" s="512"/>
      <c r="C444" s="512"/>
      <c r="D444" s="512"/>
      <c r="E444" s="512"/>
      <c r="F444" s="512"/>
      <c r="G444" s="512"/>
      <c r="H444" s="512"/>
      <c r="I444" s="512"/>
      <c r="J444" s="512"/>
      <c r="K444" s="512"/>
      <c r="L444" s="512"/>
      <c r="M444" s="512"/>
      <c r="N444" s="512"/>
      <c r="O444" s="512"/>
      <c r="P444" s="512"/>
      <c r="Q444" s="512"/>
    </row>
    <row r="445" spans="1:17">
      <c r="A445" s="512"/>
      <c r="B445" s="512"/>
      <c r="C445" s="512"/>
      <c r="D445" s="512"/>
      <c r="E445" s="512"/>
      <c r="F445" s="512"/>
      <c r="G445" s="512"/>
      <c r="H445" s="512"/>
      <c r="I445" s="512"/>
      <c r="J445" s="512"/>
      <c r="K445" s="512"/>
      <c r="L445" s="512"/>
      <c r="M445" s="512"/>
      <c r="N445" s="512"/>
      <c r="O445" s="512"/>
      <c r="P445" s="512"/>
      <c r="Q445" s="512"/>
    </row>
    <row r="446" spans="1:17">
      <c r="A446" s="512"/>
      <c r="B446" s="512"/>
      <c r="C446" s="512"/>
      <c r="D446" s="512"/>
      <c r="E446" s="512"/>
      <c r="F446" s="512"/>
      <c r="G446" s="512"/>
      <c r="H446" s="512"/>
      <c r="I446" s="512"/>
      <c r="J446" s="512"/>
      <c r="K446" s="512"/>
      <c r="L446" s="512"/>
      <c r="M446" s="512"/>
      <c r="N446" s="512"/>
      <c r="O446" s="512"/>
      <c r="P446" s="512"/>
      <c r="Q446" s="512"/>
    </row>
    <row r="447" spans="1:17">
      <c r="A447" s="512"/>
      <c r="B447" s="512"/>
      <c r="C447" s="512"/>
      <c r="D447" s="512"/>
      <c r="E447" s="512"/>
      <c r="F447" s="512"/>
      <c r="G447" s="512"/>
      <c r="H447" s="512"/>
      <c r="I447" s="512"/>
      <c r="J447" s="512"/>
      <c r="K447" s="512"/>
      <c r="L447" s="512"/>
      <c r="M447" s="512"/>
      <c r="N447" s="512"/>
      <c r="O447" s="512"/>
      <c r="P447" s="512"/>
      <c r="Q447" s="512"/>
    </row>
    <row r="448" spans="1:17">
      <c r="A448" s="512"/>
      <c r="B448" s="512"/>
      <c r="C448" s="512"/>
      <c r="D448" s="512"/>
      <c r="E448" s="512"/>
      <c r="F448" s="512"/>
      <c r="G448" s="512"/>
      <c r="H448" s="512"/>
      <c r="I448" s="512"/>
      <c r="J448" s="512"/>
      <c r="K448" s="512"/>
      <c r="L448" s="512"/>
      <c r="M448" s="512"/>
      <c r="N448" s="512"/>
      <c r="O448" s="512"/>
      <c r="P448" s="512"/>
      <c r="Q448" s="512"/>
    </row>
    <row r="449" spans="1:17">
      <c r="A449" s="512"/>
      <c r="B449" s="512"/>
      <c r="C449" s="512"/>
      <c r="D449" s="512"/>
      <c r="E449" s="512"/>
      <c r="F449" s="512"/>
      <c r="G449" s="512"/>
      <c r="H449" s="512"/>
      <c r="I449" s="512"/>
      <c r="J449" s="512"/>
      <c r="K449" s="512"/>
      <c r="L449" s="512"/>
      <c r="M449" s="512"/>
      <c r="N449" s="512"/>
      <c r="O449" s="512"/>
      <c r="P449" s="512"/>
      <c r="Q449" s="512"/>
    </row>
    <row r="450" spans="1:17">
      <c r="A450" s="512"/>
      <c r="B450" s="512"/>
      <c r="C450" s="512"/>
      <c r="D450" s="512"/>
      <c r="E450" s="512"/>
      <c r="F450" s="512"/>
      <c r="G450" s="512"/>
      <c r="H450" s="512"/>
      <c r="I450" s="512"/>
      <c r="J450" s="512"/>
      <c r="K450" s="512"/>
      <c r="L450" s="512"/>
      <c r="M450" s="512"/>
      <c r="N450" s="512"/>
      <c r="O450" s="512"/>
      <c r="P450" s="512"/>
      <c r="Q450" s="512"/>
    </row>
    <row r="451" spans="1:17">
      <c r="A451" s="512"/>
      <c r="B451" s="512"/>
      <c r="C451" s="512"/>
      <c r="D451" s="512"/>
      <c r="E451" s="512"/>
      <c r="F451" s="512"/>
      <c r="G451" s="512"/>
      <c r="H451" s="512"/>
      <c r="I451" s="512"/>
      <c r="J451" s="512"/>
      <c r="K451" s="512"/>
      <c r="L451" s="512"/>
      <c r="M451" s="512"/>
      <c r="N451" s="512"/>
      <c r="O451" s="512"/>
      <c r="P451" s="512"/>
      <c r="Q451" s="512"/>
    </row>
    <row r="452" spans="1:17">
      <c r="A452" s="512"/>
      <c r="B452" s="512"/>
      <c r="C452" s="512"/>
      <c r="D452" s="512"/>
      <c r="E452" s="512"/>
      <c r="F452" s="512"/>
      <c r="G452" s="512"/>
      <c r="H452" s="512"/>
      <c r="I452" s="512"/>
      <c r="J452" s="512"/>
      <c r="K452" s="512"/>
      <c r="L452" s="512"/>
      <c r="M452" s="512"/>
      <c r="N452" s="512"/>
      <c r="O452" s="512"/>
      <c r="P452" s="512"/>
      <c r="Q452" s="512"/>
    </row>
    <row r="453" spans="1:17">
      <c r="A453" s="512"/>
      <c r="B453" s="512"/>
      <c r="C453" s="512"/>
      <c r="D453" s="512"/>
      <c r="E453" s="512"/>
      <c r="F453" s="512"/>
      <c r="G453" s="512"/>
      <c r="H453" s="512"/>
      <c r="I453" s="512"/>
      <c r="J453" s="512"/>
      <c r="K453" s="512"/>
      <c r="L453" s="512"/>
      <c r="M453" s="512"/>
      <c r="N453" s="512"/>
      <c r="O453" s="512"/>
      <c r="P453" s="512"/>
      <c r="Q453" s="512"/>
    </row>
    <row r="454" spans="1:17">
      <c r="A454" s="512"/>
      <c r="B454" s="512"/>
      <c r="C454" s="512"/>
      <c r="D454" s="512"/>
      <c r="E454" s="512"/>
      <c r="F454" s="512"/>
      <c r="G454" s="512"/>
      <c r="H454" s="512"/>
      <c r="I454" s="512"/>
      <c r="J454" s="512"/>
      <c r="K454" s="512"/>
      <c r="L454" s="512"/>
      <c r="M454" s="512"/>
      <c r="N454" s="512"/>
      <c r="O454" s="512"/>
      <c r="P454" s="512"/>
      <c r="Q454" s="512"/>
    </row>
    <row r="455" spans="1:17">
      <c r="A455" s="512"/>
      <c r="B455" s="512"/>
      <c r="C455" s="512"/>
      <c r="D455" s="512"/>
      <c r="E455" s="512"/>
      <c r="F455" s="512"/>
      <c r="G455" s="512"/>
      <c r="H455" s="512"/>
      <c r="I455" s="512"/>
      <c r="J455" s="512"/>
      <c r="K455" s="512"/>
      <c r="L455" s="512"/>
      <c r="M455" s="512"/>
      <c r="N455" s="512"/>
      <c r="O455" s="512"/>
      <c r="P455" s="512"/>
      <c r="Q455" s="512"/>
    </row>
    <row r="456" spans="1:17">
      <c r="A456" s="512"/>
      <c r="B456" s="512"/>
      <c r="C456" s="512"/>
      <c r="D456" s="512"/>
      <c r="E456" s="512"/>
      <c r="F456" s="512"/>
      <c r="G456" s="512"/>
      <c r="H456" s="512"/>
      <c r="I456" s="512"/>
      <c r="J456" s="512"/>
      <c r="K456" s="512"/>
      <c r="L456" s="512"/>
      <c r="M456" s="512"/>
      <c r="N456" s="512"/>
      <c r="O456" s="512"/>
      <c r="P456" s="512"/>
      <c r="Q456" s="512"/>
    </row>
    <row r="457" spans="1:17">
      <c r="A457" s="512"/>
      <c r="B457" s="512"/>
      <c r="C457" s="512"/>
      <c r="D457" s="512"/>
      <c r="E457" s="512"/>
      <c r="F457" s="512"/>
      <c r="G457" s="512"/>
      <c r="H457" s="512"/>
      <c r="I457" s="512"/>
      <c r="J457" s="512"/>
      <c r="K457" s="512"/>
      <c r="L457" s="512"/>
      <c r="M457" s="512"/>
      <c r="N457" s="512"/>
      <c r="O457" s="512"/>
      <c r="P457" s="512"/>
      <c r="Q457" s="512"/>
    </row>
    <row r="458" spans="1:17">
      <c r="A458" s="512"/>
      <c r="B458" s="512"/>
      <c r="C458" s="512"/>
      <c r="D458" s="512"/>
      <c r="E458" s="512"/>
      <c r="F458" s="512"/>
      <c r="G458" s="512"/>
      <c r="H458" s="512"/>
      <c r="I458" s="512"/>
      <c r="J458" s="512"/>
      <c r="K458" s="512"/>
      <c r="L458" s="512"/>
      <c r="M458" s="512"/>
      <c r="N458" s="512"/>
      <c r="O458" s="512"/>
      <c r="P458" s="512"/>
      <c r="Q458" s="512"/>
    </row>
    <row r="459" spans="1:17">
      <c r="A459" s="512"/>
      <c r="B459" s="512"/>
      <c r="C459" s="512"/>
      <c r="D459" s="512"/>
      <c r="E459" s="512"/>
      <c r="F459" s="512"/>
      <c r="G459" s="512"/>
      <c r="H459" s="512"/>
      <c r="I459" s="512"/>
      <c r="J459" s="512"/>
      <c r="K459" s="512"/>
      <c r="L459" s="512"/>
      <c r="M459" s="512"/>
      <c r="N459" s="512"/>
      <c r="O459" s="512"/>
      <c r="P459" s="512"/>
      <c r="Q459" s="512"/>
    </row>
    <row r="460" spans="1:17">
      <c r="A460" s="512"/>
      <c r="B460" s="512"/>
      <c r="C460" s="512"/>
      <c r="D460" s="512"/>
      <c r="E460" s="512"/>
      <c r="F460" s="512"/>
      <c r="G460" s="512"/>
      <c r="H460" s="512"/>
      <c r="I460" s="512"/>
      <c r="J460" s="512"/>
      <c r="K460" s="512"/>
      <c r="L460" s="512"/>
      <c r="M460" s="512"/>
      <c r="N460" s="512"/>
      <c r="O460" s="512"/>
      <c r="P460" s="512"/>
      <c r="Q460" s="512"/>
    </row>
    <row r="461" spans="1:17">
      <c r="A461" s="512" t="s">
        <v>1405</v>
      </c>
      <c r="B461" s="512"/>
      <c r="C461" s="512"/>
      <c r="D461" s="512"/>
      <c r="E461" s="512"/>
      <c r="F461" s="512"/>
      <c r="G461" s="512"/>
      <c r="H461" s="512"/>
      <c r="I461" s="512"/>
      <c r="J461" s="512"/>
      <c r="K461" s="512"/>
      <c r="L461" s="512"/>
      <c r="M461" s="512"/>
      <c r="N461" s="512"/>
      <c r="O461" s="512"/>
      <c r="P461" s="512"/>
      <c r="Q461" s="512"/>
    </row>
    <row r="462" spans="1:17">
      <c r="A462" s="512" t="s">
        <v>1406</v>
      </c>
      <c r="B462" s="512"/>
      <c r="C462" s="512"/>
      <c r="D462" s="512"/>
      <c r="E462" s="512"/>
      <c r="F462" s="512"/>
      <c r="G462" s="512"/>
      <c r="H462" s="512"/>
      <c r="I462" s="512"/>
      <c r="J462" s="512"/>
      <c r="K462" s="512"/>
      <c r="L462" s="512"/>
      <c r="M462" s="512"/>
      <c r="N462" s="512"/>
      <c r="O462" s="512"/>
      <c r="P462" s="512"/>
      <c r="Q462" s="512"/>
    </row>
    <row r="463" spans="1:17">
      <c r="A463" s="512" t="s">
        <v>1528</v>
      </c>
      <c r="B463" s="512"/>
      <c r="C463" s="512"/>
      <c r="D463" s="512"/>
      <c r="E463" s="512"/>
      <c r="F463" s="512"/>
      <c r="G463" s="512"/>
      <c r="H463" s="512"/>
      <c r="I463" s="512"/>
      <c r="J463" s="512"/>
      <c r="K463" s="512"/>
      <c r="L463" s="512"/>
      <c r="M463" s="512"/>
      <c r="N463" s="512"/>
      <c r="O463" s="512"/>
      <c r="P463" s="512"/>
      <c r="Q463" s="512"/>
    </row>
    <row r="464" spans="1:17">
      <c r="A464" s="512" t="s">
        <v>1407</v>
      </c>
      <c r="B464" s="512"/>
      <c r="C464" s="512"/>
      <c r="D464" s="512"/>
      <c r="E464" s="512"/>
      <c r="F464" s="512"/>
      <c r="G464" s="512"/>
      <c r="H464" s="512"/>
      <c r="I464" s="512"/>
      <c r="J464" s="512"/>
      <c r="K464" s="512"/>
      <c r="L464" s="512"/>
      <c r="M464" s="512"/>
      <c r="N464" s="512"/>
      <c r="O464" s="512"/>
      <c r="P464" s="512"/>
      <c r="Q464" s="512"/>
    </row>
    <row r="465" spans="1:17">
      <c r="A465" s="512"/>
      <c r="B465" s="512"/>
      <c r="C465" s="512"/>
      <c r="D465" s="512"/>
      <c r="E465" s="512"/>
      <c r="F465" s="512"/>
      <c r="G465" s="512"/>
      <c r="H465" s="512"/>
      <c r="I465" s="512"/>
      <c r="J465" s="512"/>
      <c r="K465" s="512"/>
      <c r="L465" s="512"/>
      <c r="M465" s="512"/>
      <c r="N465" s="512"/>
      <c r="O465" s="512"/>
      <c r="P465" s="512"/>
      <c r="Q465" s="512"/>
    </row>
    <row r="466" spans="1:17">
      <c r="A466" s="65" t="s">
        <v>1408</v>
      </c>
      <c r="B466" s="512"/>
      <c r="C466" s="512"/>
      <c r="D466" s="512"/>
      <c r="E466" s="512"/>
      <c r="F466" s="512"/>
      <c r="G466" s="512"/>
      <c r="H466" s="512"/>
      <c r="I466" s="512"/>
      <c r="J466" s="512"/>
      <c r="K466" s="512"/>
      <c r="L466" s="512"/>
      <c r="M466" s="512"/>
      <c r="N466" s="512"/>
      <c r="O466" s="512"/>
      <c r="P466" s="512"/>
      <c r="Q466" s="512"/>
    </row>
    <row r="467" spans="1:17">
      <c r="A467" s="512"/>
      <c r="B467" s="512"/>
      <c r="C467" s="512"/>
      <c r="D467" s="512"/>
      <c r="E467" s="512"/>
      <c r="F467" s="512"/>
      <c r="G467" s="512"/>
      <c r="H467" s="512"/>
      <c r="I467" s="512"/>
      <c r="J467" s="512"/>
      <c r="K467" s="512"/>
      <c r="L467" s="512"/>
      <c r="M467" s="512"/>
      <c r="N467" s="512"/>
      <c r="O467" s="512"/>
      <c r="P467" s="512"/>
      <c r="Q467" s="512"/>
    </row>
    <row r="468" spans="1:17">
      <c r="A468" s="349" t="s">
        <v>1530</v>
      </c>
      <c r="B468" s="602">
        <v>1</v>
      </c>
      <c r="C468" s="599">
        <f>B468+1</f>
        <v>2</v>
      </c>
      <c r="D468" s="599">
        <f t="shared" ref="D468:L468" si="6">C468+1</f>
        <v>3</v>
      </c>
      <c r="E468" s="599">
        <f t="shared" si="6"/>
        <v>4</v>
      </c>
      <c r="F468" s="599">
        <f t="shared" si="6"/>
        <v>5</v>
      </c>
      <c r="G468" s="599">
        <f t="shared" si="6"/>
        <v>6</v>
      </c>
      <c r="H468" s="599">
        <f t="shared" si="6"/>
        <v>7</v>
      </c>
      <c r="I468" s="599">
        <f t="shared" si="6"/>
        <v>8</v>
      </c>
      <c r="J468" s="599">
        <f t="shared" si="6"/>
        <v>9</v>
      </c>
      <c r="K468" s="599">
        <f t="shared" si="6"/>
        <v>10</v>
      </c>
      <c r="L468" s="599">
        <f t="shared" si="6"/>
        <v>11</v>
      </c>
      <c r="M468" s="512"/>
      <c r="N468" s="512"/>
      <c r="O468" s="512"/>
      <c r="P468" s="512"/>
      <c r="Q468" s="512"/>
    </row>
    <row r="469" spans="1:17">
      <c r="A469" s="349" t="s">
        <v>1529</v>
      </c>
      <c r="B469" s="600">
        <f>B470/B468</f>
        <v>45</v>
      </c>
      <c r="C469" s="600">
        <f t="shared" ref="C469:L469" si="7">C470/C468</f>
        <v>22.5</v>
      </c>
      <c r="D469" s="600">
        <f t="shared" si="7"/>
        <v>15</v>
      </c>
      <c r="E469" s="600">
        <f t="shared" si="7"/>
        <v>11.25</v>
      </c>
      <c r="F469" s="600">
        <f t="shared" si="7"/>
        <v>9</v>
      </c>
      <c r="G469" s="600">
        <f t="shared" si="7"/>
        <v>7.5</v>
      </c>
      <c r="H469" s="600">
        <f t="shared" si="7"/>
        <v>6.4285714285714288</v>
      </c>
      <c r="I469" s="600">
        <f t="shared" si="7"/>
        <v>5.625</v>
      </c>
      <c r="J469" s="600">
        <f t="shared" si="7"/>
        <v>5</v>
      </c>
      <c r="K469" s="600">
        <f t="shared" si="7"/>
        <v>4.5</v>
      </c>
      <c r="L469" s="600">
        <f t="shared" si="7"/>
        <v>4.0909090909090908</v>
      </c>
      <c r="M469" s="512"/>
      <c r="N469" s="512"/>
      <c r="O469" s="512"/>
      <c r="P469" s="512"/>
      <c r="Q469" s="512"/>
    </row>
    <row r="470" spans="1:17">
      <c r="A470" s="349" t="s">
        <v>1410</v>
      </c>
      <c r="B470" s="602">
        <v>45</v>
      </c>
      <c r="C470" s="599">
        <f>B470</f>
        <v>45</v>
      </c>
      <c r="D470" s="599">
        <f t="shared" ref="D470:L470" si="8">C470</f>
        <v>45</v>
      </c>
      <c r="E470" s="599">
        <f t="shared" si="8"/>
        <v>45</v>
      </c>
      <c r="F470" s="599">
        <f t="shared" si="8"/>
        <v>45</v>
      </c>
      <c r="G470" s="599">
        <f t="shared" si="8"/>
        <v>45</v>
      </c>
      <c r="H470" s="599">
        <f t="shared" si="8"/>
        <v>45</v>
      </c>
      <c r="I470" s="599">
        <f t="shared" si="8"/>
        <v>45</v>
      </c>
      <c r="J470" s="599">
        <f t="shared" si="8"/>
        <v>45</v>
      </c>
      <c r="K470" s="599">
        <f t="shared" si="8"/>
        <v>45</v>
      </c>
      <c r="L470" s="599">
        <f t="shared" si="8"/>
        <v>45</v>
      </c>
      <c r="M470" s="512"/>
      <c r="N470" s="512"/>
      <c r="O470" s="512"/>
      <c r="P470" s="512"/>
      <c r="Q470" s="512"/>
    </row>
    <row r="471" spans="1:17">
      <c r="A471" s="512"/>
      <c r="B471" s="512"/>
      <c r="C471" s="512"/>
      <c r="D471" s="512"/>
      <c r="E471" s="512"/>
      <c r="F471" s="512"/>
      <c r="G471" s="512"/>
      <c r="H471" s="512"/>
      <c r="I471" s="512"/>
      <c r="J471" s="512"/>
      <c r="K471" s="512"/>
      <c r="L471" s="512"/>
      <c r="M471" s="512"/>
      <c r="N471" s="512"/>
      <c r="O471" s="512"/>
      <c r="P471" s="512"/>
      <c r="Q471" s="512"/>
    </row>
    <row r="472" spans="1:17">
      <c r="A472" s="598" t="s">
        <v>1411</v>
      </c>
      <c r="B472" s="512"/>
      <c r="C472" s="512"/>
      <c r="D472" s="512"/>
      <c r="E472" s="512"/>
      <c r="F472" s="512"/>
      <c r="G472" s="512"/>
      <c r="H472" s="512"/>
      <c r="I472" s="512"/>
      <c r="J472" s="512"/>
      <c r="K472" s="512"/>
      <c r="L472" s="512"/>
      <c r="M472" s="512"/>
      <c r="N472" s="512"/>
      <c r="O472" s="512"/>
      <c r="P472" s="512"/>
      <c r="Q472" s="512"/>
    </row>
    <row r="473" spans="1:17">
      <c r="A473" s="598" t="s">
        <v>1412</v>
      </c>
      <c r="B473" s="512"/>
      <c r="C473" s="512"/>
      <c r="D473" s="512"/>
      <c r="E473" s="512"/>
      <c r="F473" s="512"/>
      <c r="G473" s="512"/>
      <c r="H473" s="512"/>
      <c r="I473" s="512"/>
      <c r="J473" s="512"/>
      <c r="K473" s="512"/>
      <c r="L473" s="512"/>
      <c r="M473" s="512"/>
      <c r="N473" s="512"/>
      <c r="O473" s="512"/>
      <c r="P473" s="512"/>
      <c r="Q473" s="512"/>
    </row>
    <row r="474" spans="1:17">
      <c r="A474" s="598" t="s">
        <v>1413</v>
      </c>
      <c r="B474" s="512"/>
      <c r="C474" s="512"/>
      <c r="D474" s="512"/>
      <c r="E474" s="512"/>
      <c r="F474" s="512"/>
      <c r="G474" s="512"/>
      <c r="H474" s="512"/>
      <c r="I474" s="512"/>
      <c r="J474" s="512"/>
      <c r="K474" s="512"/>
      <c r="L474" s="512"/>
      <c r="M474" s="512"/>
      <c r="N474" s="512"/>
      <c r="O474" s="512"/>
      <c r="P474" s="512"/>
      <c r="Q474" s="512"/>
    </row>
    <row r="475" spans="1:17">
      <c r="A475" s="598"/>
      <c r="B475" s="512"/>
      <c r="C475" s="512"/>
      <c r="D475" s="512"/>
      <c r="E475" s="512"/>
      <c r="F475" s="512"/>
      <c r="G475" s="512"/>
      <c r="H475" s="512"/>
      <c r="I475" s="512"/>
      <c r="J475" s="512"/>
      <c r="K475" s="512"/>
      <c r="L475" s="512"/>
      <c r="M475" s="512"/>
      <c r="N475" s="512"/>
      <c r="O475" s="512"/>
      <c r="P475" s="512"/>
      <c r="Q475" s="512"/>
    </row>
    <row r="476" spans="1:17">
      <c r="A476" s="598"/>
      <c r="B476" s="512"/>
      <c r="C476" s="512"/>
      <c r="D476" s="512"/>
      <c r="E476" s="512"/>
      <c r="F476" s="512"/>
      <c r="G476" s="512"/>
      <c r="H476" s="512"/>
      <c r="I476" s="512"/>
      <c r="J476" s="512"/>
      <c r="K476" s="512"/>
      <c r="L476" s="512"/>
      <c r="M476" s="512"/>
      <c r="N476" s="512"/>
      <c r="O476" s="512"/>
      <c r="P476" s="512"/>
      <c r="Q476" s="512"/>
    </row>
    <row r="477" spans="1:17">
      <c r="A477" s="598"/>
      <c r="B477" s="512"/>
      <c r="C477" s="512"/>
      <c r="D477" s="512"/>
      <c r="E477" s="512"/>
      <c r="F477" s="512"/>
      <c r="G477" s="512"/>
      <c r="H477" s="512"/>
      <c r="I477" s="512"/>
      <c r="J477" s="512"/>
      <c r="K477" s="512"/>
      <c r="L477" s="512"/>
      <c r="M477" s="512"/>
      <c r="N477" s="512"/>
      <c r="O477" s="512"/>
      <c r="P477" s="512"/>
      <c r="Q477" s="512"/>
    </row>
    <row r="478" spans="1:17">
      <c r="A478" s="513" t="s">
        <v>1511</v>
      </c>
      <c r="B478" s="513"/>
      <c r="C478" s="513"/>
      <c r="D478" s="513"/>
      <c r="E478" s="513"/>
      <c r="F478" s="513"/>
      <c r="G478" s="512"/>
      <c r="H478" s="512"/>
      <c r="I478" s="512"/>
      <c r="J478" s="512"/>
      <c r="K478" s="512"/>
      <c r="L478" s="512"/>
      <c r="M478" s="512"/>
      <c r="N478" s="512"/>
      <c r="O478" s="512"/>
      <c r="P478" s="512"/>
      <c r="Q478" s="512"/>
    </row>
    <row r="479" spans="1:17">
      <c r="A479" s="513" t="s">
        <v>1512</v>
      </c>
      <c r="B479" s="513"/>
      <c r="C479" s="513"/>
      <c r="D479" s="513"/>
      <c r="E479" s="513"/>
      <c r="F479" s="513"/>
      <c r="G479" s="512"/>
      <c r="H479" s="512"/>
      <c r="I479" s="512"/>
      <c r="J479" s="512"/>
      <c r="K479" s="512"/>
      <c r="L479" s="512"/>
      <c r="M479" s="512"/>
      <c r="N479" s="512"/>
      <c r="O479" s="512"/>
      <c r="P479" s="512"/>
      <c r="Q479" s="512"/>
    </row>
    <row r="480" spans="1:17">
      <c r="A480" s="513" t="s">
        <v>1544</v>
      </c>
      <c r="B480" s="513"/>
      <c r="C480" s="513"/>
      <c r="D480" s="513"/>
      <c r="E480" s="513"/>
      <c r="F480" s="513"/>
      <c r="G480" s="512"/>
      <c r="H480" s="512"/>
      <c r="I480" s="512"/>
      <c r="J480" s="512"/>
      <c r="K480" s="512"/>
      <c r="L480" s="512"/>
      <c r="M480" s="512"/>
      <c r="N480" s="512"/>
      <c r="O480" s="512"/>
      <c r="P480" s="512"/>
      <c r="Q480" s="512"/>
    </row>
    <row r="481" spans="1:17">
      <c r="A481" s="513"/>
      <c r="B481" s="513"/>
      <c r="C481" s="513"/>
      <c r="D481" s="513"/>
      <c r="E481" s="513"/>
      <c r="F481" s="513"/>
      <c r="G481" s="512"/>
      <c r="H481" s="512"/>
      <c r="I481" s="512"/>
      <c r="J481" s="512"/>
      <c r="K481" s="512"/>
      <c r="L481" s="512"/>
      <c r="M481" s="512"/>
      <c r="N481" s="512"/>
      <c r="O481" s="512"/>
      <c r="P481" s="512"/>
      <c r="Q481" s="512"/>
    </row>
    <row r="482" spans="1:17">
      <c r="A482" s="546" t="s">
        <v>1410</v>
      </c>
      <c r="B482" s="540">
        <v>45</v>
      </c>
      <c r="C482" s="566"/>
      <c r="D482" s="566"/>
      <c r="E482" s="566"/>
      <c r="F482" s="566"/>
      <c r="G482" s="599"/>
      <c r="H482" s="599"/>
      <c r="I482" s="599"/>
      <c r="J482" s="599"/>
      <c r="K482" s="599"/>
      <c r="L482" s="599"/>
      <c r="M482" s="599"/>
      <c r="N482" s="512"/>
      <c r="O482" s="512"/>
      <c r="P482" s="512"/>
      <c r="Q482" s="512"/>
    </row>
    <row r="483" spans="1:17">
      <c r="A483" s="583" t="s">
        <v>1356</v>
      </c>
      <c r="B483" s="610">
        <v>1</v>
      </c>
      <c r="C483" s="611">
        <f t="shared" ref="C483:M483" si="9">B483*SQRT(2)</f>
        <v>1.4142135623730951</v>
      </c>
      <c r="D483" s="611">
        <f t="shared" si="9"/>
        <v>2.0000000000000004</v>
      </c>
      <c r="E483" s="611">
        <f t="shared" si="9"/>
        <v>2.8284271247461907</v>
      </c>
      <c r="F483" s="611">
        <f t="shared" si="9"/>
        <v>4.0000000000000009</v>
      </c>
      <c r="G483" s="601">
        <f t="shared" si="9"/>
        <v>5.6568542494923815</v>
      </c>
      <c r="H483" s="601">
        <f t="shared" si="9"/>
        <v>8.0000000000000018</v>
      </c>
      <c r="I483" s="601">
        <f t="shared" si="9"/>
        <v>11.313708498984763</v>
      </c>
      <c r="J483" s="601">
        <f t="shared" si="9"/>
        <v>16.000000000000004</v>
      </c>
      <c r="K483" s="601">
        <f t="shared" si="9"/>
        <v>22.627416997969526</v>
      </c>
      <c r="L483" s="601">
        <f t="shared" si="9"/>
        <v>32.000000000000007</v>
      </c>
      <c r="M483" s="601">
        <f t="shared" si="9"/>
        <v>45.254833995939052</v>
      </c>
      <c r="N483" s="512"/>
      <c r="O483" s="512"/>
      <c r="P483" s="512"/>
      <c r="Q483" s="512"/>
    </row>
    <row r="484" spans="1:17">
      <c r="A484" s="546" t="s">
        <v>1470</v>
      </c>
      <c r="B484" s="611">
        <f t="shared" ref="B484:M484" si="10">$B482/B483</f>
        <v>45</v>
      </c>
      <c r="C484" s="611">
        <f t="shared" si="10"/>
        <v>31.819805153394636</v>
      </c>
      <c r="D484" s="611">
        <f t="shared" si="10"/>
        <v>22.499999999999996</v>
      </c>
      <c r="E484" s="611">
        <f t="shared" si="10"/>
        <v>15.909902576697316</v>
      </c>
      <c r="F484" s="611">
        <f t="shared" si="10"/>
        <v>11.249999999999998</v>
      </c>
      <c r="G484" s="601">
        <f t="shared" si="10"/>
        <v>7.9549512883486582</v>
      </c>
      <c r="H484" s="601">
        <f t="shared" si="10"/>
        <v>5.6249999999999991</v>
      </c>
      <c r="I484" s="601">
        <f t="shared" si="10"/>
        <v>3.9774756441743291</v>
      </c>
      <c r="J484" s="601">
        <f t="shared" si="10"/>
        <v>2.8124999999999996</v>
      </c>
      <c r="K484" s="601">
        <f t="shared" si="10"/>
        <v>1.9887378220871645</v>
      </c>
      <c r="L484" s="601">
        <f t="shared" si="10"/>
        <v>1.4062499999999998</v>
      </c>
      <c r="M484" s="601">
        <f t="shared" si="10"/>
        <v>0.99436891104358227</v>
      </c>
      <c r="N484" s="512"/>
      <c r="O484" s="512"/>
      <c r="P484" s="512"/>
      <c r="Q484" s="512"/>
    </row>
    <row r="485" spans="1:17">
      <c r="A485" s="546"/>
      <c r="B485" s="513"/>
      <c r="C485" s="513"/>
      <c r="D485" s="513"/>
      <c r="E485" s="513"/>
      <c r="F485" s="513"/>
      <c r="G485" s="512"/>
      <c r="H485" s="512"/>
      <c r="I485" s="512"/>
      <c r="J485" s="512"/>
      <c r="K485" s="512"/>
      <c r="L485" s="512"/>
      <c r="M485" s="512"/>
      <c r="N485" s="512"/>
      <c r="O485" s="512"/>
      <c r="P485" s="512"/>
      <c r="Q485" s="512"/>
    </row>
    <row r="486" spans="1:17">
      <c r="A486" s="598"/>
      <c r="B486" s="512"/>
      <c r="C486" s="512"/>
      <c r="D486" s="512"/>
      <c r="E486" s="512"/>
      <c r="F486" s="512"/>
      <c r="G486" s="512"/>
      <c r="H486" s="512"/>
      <c r="I486" s="512"/>
      <c r="J486" s="512"/>
      <c r="K486" s="512"/>
      <c r="L486" s="512"/>
      <c r="M486" s="512"/>
      <c r="N486" s="512"/>
      <c r="O486" s="512"/>
      <c r="P486" s="512"/>
      <c r="Q486" s="512"/>
    </row>
    <row r="487" spans="1:17">
      <c r="A487" s="598"/>
      <c r="B487" s="512"/>
      <c r="C487" s="512"/>
      <c r="D487" s="512"/>
      <c r="E487" s="512"/>
      <c r="F487" s="512"/>
      <c r="G487" s="512"/>
      <c r="H487" s="512"/>
      <c r="I487" s="512"/>
      <c r="J487" s="512"/>
      <c r="K487" s="512"/>
      <c r="L487" s="512"/>
      <c r="M487" s="512"/>
      <c r="N487" s="512"/>
      <c r="O487" s="512"/>
      <c r="P487" s="512"/>
      <c r="Q487" s="512"/>
    </row>
    <row r="488" spans="1:17">
      <c r="A488" s="598"/>
      <c r="B488" s="512"/>
      <c r="C488" s="512"/>
      <c r="D488" s="512"/>
      <c r="E488" s="512"/>
      <c r="F488" s="512"/>
      <c r="G488" s="512"/>
      <c r="H488" s="512"/>
      <c r="I488" s="512"/>
      <c r="J488" s="512"/>
      <c r="K488" s="512"/>
      <c r="L488" s="512"/>
      <c r="M488" s="512"/>
      <c r="N488" s="512"/>
      <c r="O488" s="512"/>
      <c r="P488" s="512"/>
      <c r="Q488" s="512"/>
    </row>
    <row r="489" spans="1:17">
      <c r="A489" s="598"/>
      <c r="B489" s="512"/>
      <c r="C489" s="512"/>
      <c r="D489" s="512"/>
      <c r="E489" s="512"/>
      <c r="F489" s="512"/>
      <c r="G489" s="512"/>
      <c r="H489" s="512"/>
      <c r="I489" s="512"/>
      <c r="J489" s="512"/>
      <c r="K489" s="512"/>
      <c r="L489" s="512"/>
      <c r="M489" s="512"/>
      <c r="N489" s="512"/>
      <c r="O489" s="512"/>
      <c r="P489" s="512"/>
      <c r="Q489" s="512"/>
    </row>
    <row r="490" spans="1:17">
      <c r="A490" s="598"/>
      <c r="B490" s="512"/>
      <c r="C490" s="512"/>
      <c r="D490" s="512"/>
      <c r="E490" s="512"/>
      <c r="F490" s="512"/>
      <c r="G490" s="512"/>
      <c r="H490" s="512"/>
      <c r="I490" s="512"/>
      <c r="J490" s="512"/>
      <c r="K490" s="512"/>
      <c r="L490" s="512"/>
      <c r="M490" s="512"/>
      <c r="N490" s="512"/>
      <c r="O490" s="512"/>
      <c r="P490" s="512"/>
      <c r="Q490" s="512"/>
    </row>
    <row r="491" spans="1:17">
      <c r="A491" s="598"/>
      <c r="B491" s="512"/>
      <c r="C491" s="512"/>
      <c r="D491" s="512"/>
      <c r="E491" s="512"/>
      <c r="F491" s="512"/>
      <c r="G491" s="512"/>
      <c r="H491" s="512"/>
      <c r="I491" s="512"/>
      <c r="J491" s="512"/>
      <c r="K491" s="512"/>
      <c r="L491" s="512"/>
      <c r="M491" s="512"/>
      <c r="N491" s="512"/>
      <c r="O491" s="512"/>
      <c r="P491" s="512"/>
      <c r="Q491" s="512"/>
    </row>
    <row r="492" spans="1:17">
      <c r="A492" s="345" t="s">
        <v>1531</v>
      </c>
      <c r="B492" s="512"/>
      <c r="C492" s="512"/>
      <c r="D492" s="512"/>
      <c r="E492" s="512"/>
      <c r="F492" s="512"/>
      <c r="G492" s="512"/>
      <c r="H492" s="512"/>
      <c r="I492" s="512"/>
      <c r="J492" s="512"/>
      <c r="K492" s="512"/>
      <c r="L492" s="512"/>
      <c r="M492" s="512"/>
      <c r="N492" s="512"/>
      <c r="O492" s="512"/>
      <c r="P492" s="512"/>
      <c r="Q492" s="512"/>
    </row>
    <row r="493" spans="1:17">
      <c r="A493" s="512"/>
      <c r="B493" s="512"/>
      <c r="C493" s="512"/>
      <c r="D493" s="512"/>
      <c r="E493" s="512"/>
      <c r="F493" s="512"/>
      <c r="G493" s="512"/>
      <c r="H493" s="512"/>
      <c r="I493" s="512"/>
      <c r="J493" s="512"/>
      <c r="K493" s="512"/>
      <c r="L493" s="512"/>
      <c r="M493" s="512"/>
      <c r="N493" s="512"/>
      <c r="O493" s="512"/>
      <c r="P493" s="512"/>
      <c r="Q493" s="512"/>
    </row>
    <row r="494" spans="1:17">
      <c r="A494" s="349" t="s">
        <v>1414</v>
      </c>
      <c r="B494" s="602">
        <v>100</v>
      </c>
      <c r="C494" s="599">
        <f>B494</f>
        <v>100</v>
      </c>
      <c r="D494" s="599">
        <f t="shared" ref="D494:M494" si="11">C494</f>
        <v>100</v>
      </c>
      <c r="E494" s="599">
        <f t="shared" si="11"/>
        <v>100</v>
      </c>
      <c r="F494" s="599">
        <f t="shared" si="11"/>
        <v>100</v>
      </c>
      <c r="G494" s="599">
        <f t="shared" si="11"/>
        <v>100</v>
      </c>
      <c r="H494" s="599">
        <f t="shared" si="11"/>
        <v>100</v>
      </c>
      <c r="I494" s="599">
        <f t="shared" si="11"/>
        <v>100</v>
      </c>
      <c r="J494" s="599">
        <f t="shared" si="11"/>
        <v>100</v>
      </c>
      <c r="K494" s="599">
        <f t="shared" si="11"/>
        <v>100</v>
      </c>
      <c r="L494" s="599">
        <f t="shared" si="11"/>
        <v>100</v>
      </c>
      <c r="M494" s="599">
        <f t="shared" si="11"/>
        <v>100</v>
      </c>
      <c r="N494" s="512"/>
      <c r="O494" s="512"/>
      <c r="P494" s="512"/>
      <c r="Q494" s="512"/>
    </row>
    <row r="495" spans="1:17">
      <c r="A495" s="349" t="s">
        <v>1415</v>
      </c>
      <c r="B495" s="602">
        <v>1</v>
      </c>
      <c r="C495" s="601">
        <f>B495*SQRT(2)</f>
        <v>1.4142135623730951</v>
      </c>
      <c r="D495" s="605">
        <f t="shared" ref="D495:M495" si="12">C495*SQRT(2)</f>
        <v>2.0000000000000004</v>
      </c>
      <c r="E495" s="600">
        <f t="shared" si="12"/>
        <v>2.8284271247461907</v>
      </c>
      <c r="F495" s="605">
        <f t="shared" si="12"/>
        <v>4.0000000000000009</v>
      </c>
      <c r="G495" s="600">
        <f t="shared" si="12"/>
        <v>5.6568542494923815</v>
      </c>
      <c r="H495" s="605">
        <f t="shared" si="12"/>
        <v>8.0000000000000018</v>
      </c>
      <c r="I495" s="600">
        <f t="shared" si="12"/>
        <v>11.313708498984763</v>
      </c>
      <c r="J495" s="605">
        <f t="shared" si="12"/>
        <v>16.000000000000004</v>
      </c>
      <c r="K495" s="600">
        <f t="shared" si="12"/>
        <v>22.627416997969526</v>
      </c>
      <c r="L495" s="605">
        <f t="shared" si="12"/>
        <v>32.000000000000007</v>
      </c>
      <c r="M495" s="600">
        <f t="shared" si="12"/>
        <v>45.254833995939052</v>
      </c>
      <c r="N495" s="512"/>
      <c r="O495" s="512"/>
      <c r="P495" s="512"/>
      <c r="Q495" s="512"/>
    </row>
    <row r="496" spans="1:17">
      <c r="A496" s="349" t="s">
        <v>1410</v>
      </c>
      <c r="B496" s="602">
        <v>45</v>
      </c>
      <c r="C496" s="599">
        <f>B496</f>
        <v>45</v>
      </c>
      <c r="D496" s="599">
        <f t="shared" ref="D496:M496" si="13">C496</f>
        <v>45</v>
      </c>
      <c r="E496" s="599">
        <f t="shared" si="13"/>
        <v>45</v>
      </c>
      <c r="F496" s="599">
        <f t="shared" si="13"/>
        <v>45</v>
      </c>
      <c r="G496" s="599">
        <f t="shared" si="13"/>
        <v>45</v>
      </c>
      <c r="H496" s="599">
        <f t="shared" si="13"/>
        <v>45</v>
      </c>
      <c r="I496" s="599">
        <f t="shared" si="13"/>
        <v>45</v>
      </c>
      <c r="J496" s="599">
        <f t="shared" si="13"/>
        <v>45</v>
      </c>
      <c r="K496" s="599">
        <f t="shared" si="13"/>
        <v>45</v>
      </c>
      <c r="L496" s="599">
        <f t="shared" si="13"/>
        <v>45</v>
      </c>
      <c r="M496" s="599">
        <f t="shared" si="13"/>
        <v>45</v>
      </c>
      <c r="N496" s="512"/>
      <c r="O496" s="512"/>
      <c r="P496" s="512"/>
      <c r="Q496" s="512"/>
    </row>
    <row r="497" spans="1:17">
      <c r="A497" s="349" t="s">
        <v>1271</v>
      </c>
      <c r="B497" s="601">
        <f>B496/B495</f>
        <v>45</v>
      </c>
      <c r="C497" s="601">
        <f t="shared" ref="C497:M497" si="14">C496/C495</f>
        <v>31.819805153394636</v>
      </c>
      <c r="D497" s="601">
        <f t="shared" si="14"/>
        <v>22.499999999999996</v>
      </c>
      <c r="E497" s="601">
        <f t="shared" si="14"/>
        <v>15.909902576697316</v>
      </c>
      <c r="F497" s="601">
        <f t="shared" si="14"/>
        <v>11.249999999999998</v>
      </c>
      <c r="G497" s="601">
        <f t="shared" si="14"/>
        <v>7.9549512883486582</v>
      </c>
      <c r="H497" s="601">
        <f t="shared" si="14"/>
        <v>5.6249999999999991</v>
      </c>
      <c r="I497" s="601">
        <f t="shared" si="14"/>
        <v>3.9774756441743291</v>
      </c>
      <c r="J497" s="601">
        <f t="shared" si="14"/>
        <v>2.8124999999999996</v>
      </c>
      <c r="K497" s="601">
        <f t="shared" si="14"/>
        <v>1.9887378220871645</v>
      </c>
      <c r="L497" s="601">
        <f t="shared" si="14"/>
        <v>1.4062499999999998</v>
      </c>
      <c r="M497" s="601">
        <f t="shared" si="14"/>
        <v>0.99436891104358227</v>
      </c>
      <c r="N497" s="512"/>
      <c r="O497" s="512"/>
      <c r="P497" s="512"/>
      <c r="Q497" s="512"/>
    </row>
    <row r="498" spans="1:17">
      <c r="A498" s="349"/>
      <c r="B498" s="606"/>
      <c r="C498" s="606"/>
      <c r="D498" s="606"/>
      <c r="E498" s="606"/>
      <c r="F498" s="606"/>
      <c r="G498" s="606"/>
      <c r="H498" s="606"/>
      <c r="I498" s="606"/>
      <c r="J498" s="606"/>
      <c r="K498" s="606"/>
      <c r="L498" s="606"/>
      <c r="M498" s="606"/>
      <c r="N498" s="512"/>
      <c r="O498" s="512"/>
      <c r="P498" s="512"/>
      <c r="Q498" s="512"/>
    </row>
    <row r="499" spans="1:17">
      <c r="A499" s="349"/>
      <c r="B499" s="606" t="s">
        <v>1532</v>
      </c>
      <c r="C499" s="606"/>
      <c r="D499" s="606"/>
      <c r="E499" s="606"/>
      <c r="F499" s="606"/>
      <c r="G499" s="606"/>
      <c r="H499" s="606"/>
      <c r="I499" s="606"/>
      <c r="J499" s="606"/>
      <c r="K499" s="606"/>
      <c r="L499" s="606"/>
      <c r="M499" s="606"/>
      <c r="N499" s="512"/>
      <c r="O499" s="512"/>
      <c r="P499" s="512"/>
      <c r="Q499" s="512"/>
    </row>
    <row r="500" spans="1:17">
      <c r="A500" s="349"/>
      <c r="B500" s="512"/>
      <c r="C500" s="512"/>
      <c r="D500" s="512"/>
      <c r="E500" s="512"/>
      <c r="F500" s="512"/>
      <c r="G500" s="512"/>
      <c r="H500" s="512"/>
      <c r="I500" s="512"/>
      <c r="J500" s="512"/>
      <c r="K500" s="512"/>
      <c r="L500" s="512"/>
      <c r="M500" s="512"/>
      <c r="N500" s="512"/>
      <c r="O500" s="512"/>
      <c r="P500" s="512"/>
      <c r="Q500" s="512"/>
    </row>
    <row r="501" spans="1:17">
      <c r="A501" s="349" t="s">
        <v>1414</v>
      </c>
      <c r="B501" s="602">
        <v>1600</v>
      </c>
      <c r="C501" s="599">
        <f>B501</f>
        <v>1600</v>
      </c>
      <c r="D501" s="599">
        <f t="shared" ref="D501" si="15">C501</f>
        <v>1600</v>
      </c>
      <c r="E501" s="599">
        <f t="shared" ref="E501" si="16">D501</f>
        <v>1600</v>
      </c>
      <c r="F501" s="599">
        <f t="shared" ref="F501" si="17">E501</f>
        <v>1600</v>
      </c>
      <c r="G501" s="599">
        <f t="shared" ref="G501" si="18">F501</f>
        <v>1600</v>
      </c>
      <c r="H501" s="599">
        <f t="shared" ref="H501" si="19">G501</f>
        <v>1600</v>
      </c>
      <c r="I501" s="599">
        <f t="shared" ref="I501" si="20">H501</f>
        <v>1600</v>
      </c>
      <c r="J501" s="599">
        <f t="shared" ref="J501" si="21">I501</f>
        <v>1600</v>
      </c>
      <c r="K501" s="599">
        <f t="shared" ref="K501" si="22">J501</f>
        <v>1600</v>
      </c>
      <c r="L501" s="599">
        <f t="shared" ref="L501" si="23">K501</f>
        <v>1600</v>
      </c>
      <c r="M501" s="599">
        <f t="shared" ref="M501" si="24">L501</f>
        <v>1600</v>
      </c>
      <c r="N501" s="512"/>
      <c r="O501" s="512"/>
      <c r="P501" s="512"/>
      <c r="Q501" s="512"/>
    </row>
    <row r="502" spans="1:17">
      <c r="A502" s="349" t="s">
        <v>1415</v>
      </c>
      <c r="B502" s="603">
        <f>B495*SQRT(B501/B494)</f>
        <v>4</v>
      </c>
      <c r="C502" s="601">
        <f>B502*SQRT(2)</f>
        <v>5.6568542494923806</v>
      </c>
      <c r="D502" s="600">
        <f t="shared" ref="D502" si="25">C502*SQRT(2)</f>
        <v>8.0000000000000018</v>
      </c>
      <c r="E502" s="600">
        <f t="shared" ref="E502" si="26">D502*SQRT(2)</f>
        <v>11.313708498984763</v>
      </c>
      <c r="F502" s="601">
        <f t="shared" ref="F502" si="27">E502*SQRT(2)</f>
        <v>16.000000000000004</v>
      </c>
      <c r="G502" s="600">
        <f t="shared" ref="G502" si="28">F502*SQRT(2)</f>
        <v>22.627416997969526</v>
      </c>
      <c r="H502" s="600">
        <f t="shared" ref="H502" si="29">G502*SQRT(2)</f>
        <v>32.000000000000007</v>
      </c>
      <c r="I502" s="600">
        <f t="shared" ref="I502" si="30">H502*SQRT(2)</f>
        <v>45.254833995939052</v>
      </c>
      <c r="J502" s="600">
        <f t="shared" ref="J502" si="31">I502*SQRT(2)</f>
        <v>64.000000000000014</v>
      </c>
      <c r="K502" s="600">
        <f t="shared" ref="K502" si="32">J502*SQRT(2)</f>
        <v>90.509667991878104</v>
      </c>
      <c r="L502" s="600">
        <f t="shared" ref="L502" si="33">K502*SQRT(2)</f>
        <v>128.00000000000003</v>
      </c>
      <c r="M502" s="600">
        <f t="shared" ref="M502" si="34">L502*SQRT(2)</f>
        <v>181.01933598375621</v>
      </c>
      <c r="N502" s="512"/>
      <c r="O502" s="512"/>
      <c r="P502" s="512"/>
      <c r="Q502" s="512"/>
    </row>
    <row r="503" spans="1:17">
      <c r="A503" s="607" t="s">
        <v>1410</v>
      </c>
      <c r="B503" s="608">
        <f t="shared" ref="B503:C503" si="35">B502*B504</f>
        <v>180</v>
      </c>
      <c r="C503" s="608">
        <f t="shared" si="35"/>
        <v>180</v>
      </c>
      <c r="D503" s="608">
        <f>D502*D504</f>
        <v>180</v>
      </c>
      <c r="E503" s="608">
        <f t="shared" ref="E503" si="36">E502*E504</f>
        <v>180</v>
      </c>
      <c r="F503" s="608">
        <f t="shared" ref="F503:G503" si="37">F502*F504</f>
        <v>180</v>
      </c>
      <c r="G503" s="608">
        <f t="shared" si="37"/>
        <v>180</v>
      </c>
      <c r="H503" s="608">
        <f t="shared" ref="H503" si="38">H502*H504</f>
        <v>180</v>
      </c>
      <c r="I503" s="608">
        <f t="shared" ref="I503:J503" si="39">I502*I504</f>
        <v>180</v>
      </c>
      <c r="J503" s="608">
        <f t="shared" si="39"/>
        <v>180</v>
      </c>
      <c r="K503" s="608">
        <f t="shared" ref="K503" si="40">K502*K504</f>
        <v>180</v>
      </c>
      <c r="L503" s="608">
        <f t="shared" ref="L503:M503" si="41">L502*L504</f>
        <v>180</v>
      </c>
      <c r="M503" s="608">
        <f t="shared" si="41"/>
        <v>180</v>
      </c>
      <c r="N503" s="512"/>
      <c r="O503" s="512"/>
      <c r="P503" s="512"/>
      <c r="Q503" s="512"/>
    </row>
    <row r="504" spans="1:17">
      <c r="A504" s="349" t="s">
        <v>1271</v>
      </c>
      <c r="B504" s="601">
        <f>B497</f>
        <v>45</v>
      </c>
      <c r="C504" s="601">
        <f t="shared" ref="C504:M504" si="42">C497</f>
        <v>31.819805153394636</v>
      </c>
      <c r="D504" s="601">
        <f t="shared" si="42"/>
        <v>22.499999999999996</v>
      </c>
      <c r="E504" s="601">
        <f t="shared" si="42"/>
        <v>15.909902576697316</v>
      </c>
      <c r="F504" s="601">
        <f t="shared" si="42"/>
        <v>11.249999999999998</v>
      </c>
      <c r="G504" s="601">
        <f t="shared" si="42"/>
        <v>7.9549512883486582</v>
      </c>
      <c r="H504" s="601">
        <f t="shared" si="42"/>
        <v>5.6249999999999991</v>
      </c>
      <c r="I504" s="601">
        <f t="shared" si="42"/>
        <v>3.9774756441743291</v>
      </c>
      <c r="J504" s="601">
        <f t="shared" si="42"/>
        <v>2.8124999999999996</v>
      </c>
      <c r="K504" s="601">
        <f t="shared" si="42"/>
        <v>1.9887378220871645</v>
      </c>
      <c r="L504" s="601">
        <f t="shared" si="42"/>
        <v>1.4062499999999998</v>
      </c>
      <c r="M504" s="601">
        <f t="shared" si="42"/>
        <v>0.99436891104358227</v>
      </c>
      <c r="N504" s="512"/>
      <c r="O504" s="512"/>
      <c r="P504" s="512"/>
      <c r="Q504" s="512"/>
    </row>
    <row r="505" spans="1:17">
      <c r="A505" s="349" t="s">
        <v>1533</v>
      </c>
      <c r="B505" s="604">
        <f t="shared" ref="B505:C505" si="43">B503/B496</f>
        <v>4</v>
      </c>
      <c r="C505" s="604">
        <f t="shared" si="43"/>
        <v>4</v>
      </c>
      <c r="D505" s="604">
        <f>D503/D496</f>
        <v>4</v>
      </c>
      <c r="E505" s="604">
        <f t="shared" ref="E505:M505" si="44">E503/E496</f>
        <v>4</v>
      </c>
      <c r="F505" s="604">
        <f t="shared" si="44"/>
        <v>4</v>
      </c>
      <c r="G505" s="604">
        <f t="shared" si="44"/>
        <v>4</v>
      </c>
      <c r="H505" s="604">
        <f t="shared" si="44"/>
        <v>4</v>
      </c>
      <c r="I505" s="604">
        <f t="shared" si="44"/>
        <v>4</v>
      </c>
      <c r="J505" s="604">
        <f t="shared" si="44"/>
        <v>4</v>
      </c>
      <c r="K505" s="604">
        <f t="shared" si="44"/>
        <v>4</v>
      </c>
      <c r="L505" s="604">
        <f t="shared" si="44"/>
        <v>4</v>
      </c>
      <c r="M505" s="604">
        <f t="shared" si="44"/>
        <v>4</v>
      </c>
      <c r="N505" s="512"/>
      <c r="O505" s="512"/>
      <c r="P505" s="512"/>
      <c r="Q505" s="512"/>
    </row>
    <row r="506" spans="1:17">
      <c r="B506" s="512"/>
      <c r="C506" s="512"/>
      <c r="D506" s="512"/>
      <c r="E506" s="512"/>
      <c r="F506" s="512"/>
      <c r="G506" s="512"/>
      <c r="H506" s="512"/>
      <c r="I506" s="512"/>
      <c r="J506" s="512"/>
      <c r="K506" s="512"/>
      <c r="L506" s="512"/>
      <c r="M506" s="512"/>
      <c r="N506" s="512"/>
      <c r="O506" s="512"/>
      <c r="P506" s="512"/>
      <c r="Q506" s="512"/>
    </row>
    <row r="507" spans="1:17">
      <c r="A507" s="512" t="s">
        <v>1534</v>
      </c>
      <c r="B507" s="512"/>
      <c r="C507" s="512"/>
      <c r="D507" s="512"/>
      <c r="E507" s="512"/>
      <c r="F507" s="512"/>
      <c r="G507" s="512"/>
      <c r="H507" s="512"/>
      <c r="I507" s="512"/>
      <c r="J507" s="512"/>
      <c r="K507" s="512"/>
      <c r="L507" s="512"/>
      <c r="M507" s="512"/>
      <c r="N507" s="512"/>
      <c r="O507" s="512"/>
      <c r="P507" s="512"/>
      <c r="Q507" s="512"/>
    </row>
    <row r="508" spans="1:17">
      <c r="A508" s="512"/>
      <c r="B508" s="512"/>
      <c r="C508" s="512"/>
      <c r="D508" s="512"/>
      <c r="E508" s="512"/>
      <c r="F508" s="512"/>
      <c r="G508" s="512"/>
      <c r="H508" s="512"/>
      <c r="I508" s="512"/>
      <c r="J508" s="512"/>
      <c r="K508" s="512"/>
      <c r="L508" s="512"/>
      <c r="M508" s="512"/>
      <c r="N508" s="512"/>
      <c r="O508" s="512"/>
      <c r="P508" s="512"/>
    </row>
    <row r="509" spans="1:17">
      <c r="A509" s="512"/>
      <c r="B509" s="512"/>
      <c r="C509" s="512"/>
      <c r="D509" s="512"/>
      <c r="E509" s="512"/>
      <c r="F509" s="512"/>
      <c r="G509" s="512"/>
      <c r="H509" s="512"/>
      <c r="I509" s="512"/>
      <c r="J509" s="512"/>
      <c r="K509" s="512"/>
      <c r="L509" s="512"/>
      <c r="M509" s="512"/>
      <c r="N509" s="512"/>
      <c r="O509" s="512"/>
      <c r="P509" s="512"/>
    </row>
    <row r="510" spans="1:17">
      <c r="A510" s="512"/>
      <c r="B510" s="512"/>
      <c r="C510" s="512"/>
      <c r="D510" s="512"/>
      <c r="E510" s="512"/>
      <c r="F510" s="512"/>
      <c r="G510" s="512"/>
      <c r="H510" s="512"/>
      <c r="I510" s="512"/>
      <c r="J510" s="512"/>
      <c r="K510" s="512"/>
      <c r="L510" s="512"/>
      <c r="M510" s="512"/>
      <c r="N510" s="512"/>
      <c r="O510" s="512"/>
      <c r="P510" s="512"/>
    </row>
    <row r="511" spans="1:17">
      <c r="A511" s="512"/>
      <c r="B511" s="512"/>
      <c r="C511" s="512"/>
      <c r="D511" s="512"/>
      <c r="E511" s="512"/>
      <c r="F511" s="512"/>
      <c r="G511" s="512"/>
      <c r="H511" s="512"/>
      <c r="I511" s="512"/>
      <c r="J511" s="512"/>
      <c r="K511" s="512"/>
      <c r="L511" s="512"/>
      <c r="M511" s="512"/>
      <c r="N511" s="512"/>
      <c r="O511" s="512"/>
      <c r="P511" s="512"/>
    </row>
    <row r="512" spans="1:17">
      <c r="A512" s="512"/>
      <c r="B512" s="512"/>
      <c r="C512" s="512"/>
      <c r="D512" s="512"/>
      <c r="E512" s="512"/>
      <c r="F512" s="512"/>
      <c r="G512" s="512"/>
      <c r="H512" s="512"/>
      <c r="I512" s="512"/>
      <c r="J512" s="512"/>
      <c r="K512" s="512"/>
      <c r="L512" s="512"/>
      <c r="M512" s="512"/>
      <c r="N512" s="512"/>
      <c r="O512" s="512"/>
      <c r="P512" s="512"/>
    </row>
    <row r="513" spans="1:16">
      <c r="A513" s="574"/>
      <c r="B513" s="575" t="s">
        <v>1468</v>
      </c>
      <c r="C513" s="576"/>
      <c r="D513" s="576"/>
      <c r="E513" s="576"/>
      <c r="F513" s="576"/>
      <c r="G513" s="576"/>
      <c r="H513" s="576"/>
      <c r="I513" s="576"/>
      <c r="J513" s="576"/>
      <c r="K513" s="576"/>
      <c r="L513" s="576"/>
      <c r="M513" s="576"/>
      <c r="N513" s="577"/>
      <c r="O513" s="577"/>
    </row>
    <row r="514" spans="1:16">
      <c r="A514" s="574"/>
      <c r="B514" s="576"/>
      <c r="C514" s="576"/>
      <c r="D514" s="576"/>
      <c r="E514" s="576"/>
      <c r="F514" s="576"/>
      <c r="G514" s="576"/>
      <c r="H514" s="576"/>
      <c r="I514" s="576"/>
      <c r="J514" s="576"/>
      <c r="K514" s="576"/>
      <c r="L514" s="576"/>
      <c r="M514" s="576"/>
      <c r="N514" s="577"/>
      <c r="O514" s="577"/>
    </row>
    <row r="515" spans="1:16">
      <c r="A515" s="609" t="s">
        <v>1469</v>
      </c>
      <c r="B515" s="578">
        <v>100</v>
      </c>
      <c r="C515" s="576"/>
      <c r="D515" s="576"/>
      <c r="E515" s="576"/>
      <c r="F515" s="576"/>
      <c r="G515" s="576"/>
      <c r="H515" s="576"/>
      <c r="I515" s="576"/>
      <c r="J515" s="576"/>
      <c r="K515" s="576"/>
      <c r="L515" s="576"/>
      <c r="M515" s="576"/>
      <c r="N515" s="577"/>
      <c r="O515" s="577"/>
    </row>
    <row r="516" spans="1:16">
      <c r="A516" s="574"/>
      <c r="B516" s="576"/>
      <c r="C516" s="576"/>
      <c r="D516" s="576"/>
      <c r="E516" s="576"/>
      <c r="F516" s="576"/>
      <c r="G516" s="576"/>
      <c r="H516" s="576"/>
      <c r="I516" s="576"/>
      <c r="J516" s="576"/>
      <c r="K516" s="576"/>
      <c r="L516" s="576"/>
      <c r="M516" s="576"/>
      <c r="N516" s="577"/>
      <c r="O516" s="577"/>
    </row>
    <row r="517" spans="1:16">
      <c r="A517" s="574" t="s">
        <v>1470</v>
      </c>
      <c r="B517" s="578">
        <v>1</v>
      </c>
      <c r="C517" s="579">
        <f>B517*SQRT(2)</f>
        <v>1.4142135623730951</v>
      </c>
      <c r="D517" s="579">
        <f t="shared" ref="D517:N517" si="45">C517*SQRT(2)</f>
        <v>2.0000000000000004</v>
      </c>
      <c r="E517" s="579">
        <f t="shared" si="45"/>
        <v>2.8284271247461907</v>
      </c>
      <c r="F517" s="579">
        <f t="shared" si="45"/>
        <v>4.0000000000000009</v>
      </c>
      <c r="G517" s="579">
        <f t="shared" si="45"/>
        <v>5.6568542494923815</v>
      </c>
      <c r="H517" s="579">
        <f t="shared" si="45"/>
        <v>8.0000000000000018</v>
      </c>
      <c r="I517" s="579">
        <f t="shared" si="45"/>
        <v>11.313708498984763</v>
      </c>
      <c r="J517" s="579">
        <f t="shared" si="45"/>
        <v>16.000000000000004</v>
      </c>
      <c r="K517" s="579">
        <f t="shared" si="45"/>
        <v>22.627416997969526</v>
      </c>
      <c r="L517" s="579">
        <f t="shared" si="45"/>
        <v>32.000000000000007</v>
      </c>
      <c r="M517" s="579">
        <f t="shared" si="45"/>
        <v>45.254833995939052</v>
      </c>
      <c r="N517" s="579">
        <f t="shared" si="45"/>
        <v>64.000000000000014</v>
      </c>
      <c r="O517" s="577"/>
    </row>
    <row r="518" spans="1:16">
      <c r="A518" s="574" t="s">
        <v>1409</v>
      </c>
      <c r="B518" s="576">
        <f>B519/B517</f>
        <v>45</v>
      </c>
      <c r="C518" s="579">
        <f t="shared" ref="C518:N518" si="46">C519/C517</f>
        <v>31.819805153394636</v>
      </c>
      <c r="D518" s="579">
        <f t="shared" si="46"/>
        <v>22.499999999999996</v>
      </c>
      <c r="E518" s="579">
        <f t="shared" si="46"/>
        <v>15.909902576697316</v>
      </c>
      <c r="F518" s="579">
        <f t="shared" si="46"/>
        <v>11.249999999999998</v>
      </c>
      <c r="G518" s="579">
        <f t="shared" si="46"/>
        <v>7.9549512883486582</v>
      </c>
      <c r="H518" s="579">
        <f t="shared" si="46"/>
        <v>5.6249999999999991</v>
      </c>
      <c r="I518" s="579">
        <f t="shared" si="46"/>
        <v>3.9774756441743291</v>
      </c>
      <c r="J518" s="579">
        <f t="shared" si="46"/>
        <v>2.8124999999999996</v>
      </c>
      <c r="K518" s="579">
        <f t="shared" si="46"/>
        <v>1.9887378220871645</v>
      </c>
      <c r="L518" s="579">
        <f t="shared" si="46"/>
        <v>1.4062499999999998</v>
      </c>
      <c r="M518" s="579">
        <f t="shared" si="46"/>
        <v>0.99436891104358227</v>
      </c>
      <c r="N518" s="579">
        <f t="shared" si="46"/>
        <v>0.70312499999999989</v>
      </c>
      <c r="O518" s="577"/>
    </row>
    <row r="519" spans="1:16">
      <c r="A519" s="574" t="s">
        <v>1471</v>
      </c>
      <c r="B519" s="578">
        <v>45</v>
      </c>
      <c r="C519" s="576">
        <f>B519</f>
        <v>45</v>
      </c>
      <c r="D519" s="576">
        <f t="shared" ref="D519:N519" si="47">C519</f>
        <v>45</v>
      </c>
      <c r="E519" s="576">
        <f t="shared" si="47"/>
        <v>45</v>
      </c>
      <c r="F519" s="576">
        <f t="shared" si="47"/>
        <v>45</v>
      </c>
      <c r="G519" s="576">
        <f t="shared" si="47"/>
        <v>45</v>
      </c>
      <c r="H519" s="576">
        <f t="shared" si="47"/>
        <v>45</v>
      </c>
      <c r="I519" s="576">
        <f t="shared" si="47"/>
        <v>45</v>
      </c>
      <c r="J519" s="576">
        <f t="shared" si="47"/>
        <v>45</v>
      </c>
      <c r="K519" s="576">
        <f t="shared" si="47"/>
        <v>45</v>
      </c>
      <c r="L519" s="576">
        <f t="shared" si="47"/>
        <v>45</v>
      </c>
      <c r="M519" s="576">
        <f t="shared" si="47"/>
        <v>45</v>
      </c>
      <c r="N519" s="576">
        <f t="shared" si="47"/>
        <v>45</v>
      </c>
      <c r="O519" s="577"/>
    </row>
    <row r="520" spans="1:16">
      <c r="A520" s="574"/>
      <c r="B520" s="576"/>
      <c r="C520" s="576"/>
      <c r="D520" s="576"/>
      <c r="E520" s="576"/>
      <c r="F520" s="576"/>
      <c r="G520" s="576"/>
      <c r="H520" s="576"/>
      <c r="I520" s="576"/>
      <c r="J520" s="576"/>
      <c r="K520" s="576"/>
      <c r="L520" s="576"/>
      <c r="M520" s="576"/>
      <c r="N520" s="577"/>
      <c r="O520" s="577"/>
    </row>
    <row r="521" spans="1:16">
      <c r="A521" s="574"/>
      <c r="B521" s="576"/>
      <c r="C521" s="576"/>
      <c r="D521" s="576"/>
      <c r="E521" s="576"/>
      <c r="F521" s="576"/>
      <c r="G521" s="576"/>
      <c r="H521" s="576"/>
      <c r="I521" s="576"/>
      <c r="J521" s="576"/>
      <c r="K521" s="576"/>
      <c r="L521" s="576"/>
      <c r="M521" s="576"/>
      <c r="N521" s="577"/>
      <c r="O521" s="577"/>
    </row>
    <row r="522" spans="1:16">
      <c r="A522" s="609" t="s">
        <v>1472</v>
      </c>
      <c r="B522" s="578">
        <v>1600</v>
      </c>
      <c r="C522" s="576"/>
      <c r="D522" s="576"/>
      <c r="E522" s="576"/>
      <c r="F522" s="576"/>
      <c r="G522" s="576"/>
      <c r="H522" s="576"/>
      <c r="I522" s="576"/>
      <c r="J522" s="576"/>
      <c r="K522" s="576"/>
      <c r="L522" s="576"/>
      <c r="M522" s="576"/>
      <c r="N522" s="577"/>
      <c r="O522" s="577"/>
    </row>
    <row r="523" spans="1:16">
      <c r="A523" s="574" t="s">
        <v>1473</v>
      </c>
      <c r="B523" s="576">
        <f>B522/B515</f>
        <v>16</v>
      </c>
      <c r="C523" s="580" t="str">
        <f>"entspricht "&amp;ROUND(LOG(B523)/LOG(2),2)&amp;" Belichtungsstufen."</f>
        <v>entspricht 4 Belichtungsstufen.</v>
      </c>
      <c r="D523" s="580" t="s">
        <v>1537</v>
      </c>
      <c r="E523" s="576"/>
      <c r="G523" s="576"/>
      <c r="H523" s="576"/>
      <c r="I523" s="576"/>
      <c r="J523" s="576"/>
      <c r="K523" s="576"/>
      <c r="L523" s="576"/>
      <c r="M523" s="576"/>
      <c r="N523" s="577"/>
      <c r="O523" s="577"/>
    </row>
    <row r="524" spans="1:16">
      <c r="A524" s="574" t="s">
        <v>1474</v>
      </c>
      <c r="B524" s="581">
        <f>SQRT(B523)</f>
        <v>4</v>
      </c>
      <c r="C524" s="580" t="s">
        <v>1475</v>
      </c>
      <c r="D524" s="576"/>
      <c r="E524" s="576"/>
      <c r="F524" s="576"/>
      <c r="G524" s="576"/>
      <c r="H524" s="576"/>
      <c r="I524" s="576"/>
      <c r="J524" s="576"/>
      <c r="K524" s="576"/>
      <c r="L524" s="576"/>
      <c r="M524" s="576"/>
      <c r="N524" s="577"/>
      <c r="O524" s="577"/>
    </row>
    <row r="525" spans="1:16">
      <c r="A525" s="574"/>
      <c r="B525" s="576"/>
      <c r="C525" s="576"/>
      <c r="D525" s="576"/>
      <c r="E525" s="576"/>
      <c r="F525" s="576"/>
      <c r="G525" s="576"/>
      <c r="H525" s="576"/>
      <c r="I525" s="576"/>
      <c r="J525" s="576"/>
      <c r="K525" s="576"/>
      <c r="L525" s="576"/>
      <c r="M525" s="576"/>
      <c r="N525" s="577"/>
      <c r="O525" s="577"/>
    </row>
    <row r="526" spans="1:16">
      <c r="A526" s="574" t="s">
        <v>1476</v>
      </c>
      <c r="B526" s="579">
        <f>B519*B524</f>
        <v>180</v>
      </c>
      <c r="C526" s="579">
        <f>B526</f>
        <v>180</v>
      </c>
      <c r="D526" s="579">
        <f t="shared" ref="D526:N526" si="48">C526</f>
        <v>180</v>
      </c>
      <c r="E526" s="579">
        <f t="shared" si="48"/>
        <v>180</v>
      </c>
      <c r="F526" s="579">
        <f t="shared" si="48"/>
        <v>180</v>
      </c>
      <c r="G526" s="579">
        <f t="shared" si="48"/>
        <v>180</v>
      </c>
      <c r="H526" s="579">
        <f t="shared" si="48"/>
        <v>180</v>
      </c>
      <c r="I526" s="579">
        <f t="shared" si="48"/>
        <v>180</v>
      </c>
      <c r="J526" s="579">
        <f t="shared" si="48"/>
        <v>180</v>
      </c>
      <c r="K526" s="579">
        <f t="shared" si="48"/>
        <v>180</v>
      </c>
      <c r="L526" s="579">
        <f t="shared" si="48"/>
        <v>180</v>
      </c>
      <c r="M526" s="579">
        <f t="shared" si="48"/>
        <v>180</v>
      </c>
      <c r="N526" s="579">
        <f t="shared" si="48"/>
        <v>180</v>
      </c>
      <c r="O526" s="577"/>
    </row>
    <row r="527" spans="1:16">
      <c r="A527" s="574" t="s">
        <v>1409</v>
      </c>
      <c r="B527" s="579">
        <f>B526/B517</f>
        <v>180</v>
      </c>
      <c r="C527" s="579">
        <f t="shared" ref="C527:N527" si="49">C526/C517</f>
        <v>127.27922061357854</v>
      </c>
      <c r="D527" s="579">
        <f t="shared" si="49"/>
        <v>89.999999999999986</v>
      </c>
      <c r="E527" s="579">
        <f t="shared" si="49"/>
        <v>63.639610306789265</v>
      </c>
      <c r="F527" s="579">
        <f t="shared" si="49"/>
        <v>44.999999999999993</v>
      </c>
      <c r="G527" s="579">
        <f t="shared" si="49"/>
        <v>31.819805153394633</v>
      </c>
      <c r="H527" s="579">
        <f t="shared" si="49"/>
        <v>22.499999999999996</v>
      </c>
      <c r="I527" s="579">
        <f t="shared" si="49"/>
        <v>15.909902576697316</v>
      </c>
      <c r="J527" s="579">
        <f t="shared" si="49"/>
        <v>11.249999999999998</v>
      </c>
      <c r="K527" s="579">
        <f t="shared" si="49"/>
        <v>7.9549512883486582</v>
      </c>
      <c r="L527" s="579">
        <f t="shared" si="49"/>
        <v>5.6249999999999991</v>
      </c>
      <c r="M527" s="579">
        <f t="shared" si="49"/>
        <v>3.9774756441743291</v>
      </c>
      <c r="N527" s="579">
        <f t="shared" si="49"/>
        <v>2.8124999999999996</v>
      </c>
      <c r="O527" s="577"/>
    </row>
    <row r="528" spans="1:16">
      <c r="A528" s="512"/>
      <c r="B528" s="512"/>
      <c r="C528" s="512"/>
      <c r="D528" s="512"/>
      <c r="E528" s="512"/>
      <c r="F528" s="512"/>
      <c r="G528" s="512"/>
      <c r="H528" s="512"/>
      <c r="I528" s="512"/>
      <c r="J528" s="512"/>
      <c r="K528" s="512"/>
      <c r="L528" s="512"/>
      <c r="M528" s="512"/>
      <c r="N528" s="512"/>
      <c r="O528" s="512"/>
      <c r="P528" s="512"/>
    </row>
    <row r="529" spans="1:16">
      <c r="A529" s="512"/>
      <c r="B529" s="512"/>
      <c r="C529" s="512"/>
      <c r="D529" s="512"/>
      <c r="E529" s="512"/>
      <c r="F529" s="512"/>
      <c r="G529" s="512"/>
      <c r="H529" s="512"/>
      <c r="I529" s="512"/>
      <c r="J529" s="512"/>
      <c r="K529" s="512"/>
      <c r="L529" s="512"/>
      <c r="M529" s="512"/>
      <c r="N529" s="512"/>
      <c r="O529" s="512"/>
      <c r="P529" s="512"/>
    </row>
    <row r="530" spans="1:16">
      <c r="A530" s="512"/>
      <c r="B530" s="512"/>
      <c r="C530" s="512"/>
      <c r="D530" s="512"/>
      <c r="E530" s="512"/>
      <c r="F530" s="512"/>
      <c r="G530" s="512"/>
      <c r="H530" s="512"/>
      <c r="I530" s="512"/>
      <c r="J530" s="512"/>
      <c r="K530" s="512"/>
      <c r="L530" s="512"/>
      <c r="M530" s="512"/>
      <c r="N530" s="512"/>
      <c r="O530" s="512"/>
      <c r="P530" s="512"/>
    </row>
    <row r="531" spans="1:16">
      <c r="A531" s="512"/>
      <c r="B531" s="512"/>
      <c r="C531" s="512"/>
      <c r="D531" s="512"/>
      <c r="E531" s="512"/>
      <c r="F531" s="512"/>
      <c r="G531" s="512"/>
      <c r="H531" s="512"/>
      <c r="I531" s="512"/>
      <c r="J531" s="512"/>
      <c r="K531" s="512"/>
      <c r="L531" s="512"/>
      <c r="M531" s="512"/>
      <c r="N531" s="512"/>
      <c r="O531" s="512"/>
      <c r="P531" s="512"/>
    </row>
    <row r="532" spans="1:16">
      <c r="A532" s="512"/>
      <c r="B532" s="512"/>
      <c r="C532" s="512"/>
      <c r="D532" s="512"/>
      <c r="E532" s="512"/>
      <c r="F532" s="512"/>
      <c r="G532" s="512"/>
      <c r="H532" s="512"/>
      <c r="I532" s="512"/>
      <c r="J532" s="512"/>
      <c r="K532" s="512"/>
      <c r="L532" s="512"/>
      <c r="M532" s="512"/>
      <c r="N532" s="512"/>
      <c r="O532" s="512"/>
      <c r="P532" s="512"/>
    </row>
    <row r="533" spans="1:16">
      <c r="A533" s="512"/>
      <c r="B533" s="512"/>
      <c r="C533" s="512"/>
      <c r="D533" s="512"/>
      <c r="E533" s="512"/>
      <c r="F533" s="512"/>
      <c r="G533" s="512"/>
      <c r="H533" s="512"/>
      <c r="I533" s="512"/>
      <c r="J533" s="512"/>
      <c r="K533" s="512"/>
      <c r="L533" s="512"/>
      <c r="M533" s="512"/>
      <c r="N533" s="512"/>
      <c r="O533" s="512"/>
      <c r="P533" s="512"/>
    </row>
    <row r="534" spans="1:16">
      <c r="A534" s="512"/>
      <c r="B534" s="512"/>
      <c r="C534" s="512"/>
      <c r="D534" s="512"/>
      <c r="E534" s="512"/>
      <c r="F534" s="512"/>
      <c r="G534" s="512"/>
      <c r="H534" s="512"/>
      <c r="I534" s="512"/>
      <c r="J534" s="512"/>
      <c r="K534" s="512"/>
      <c r="L534" s="512"/>
      <c r="M534" s="512"/>
      <c r="N534" s="512"/>
      <c r="O534" s="512"/>
      <c r="P534" s="512"/>
    </row>
    <row r="535" spans="1:16">
      <c r="A535" s="65"/>
      <c r="B535" s="512"/>
      <c r="C535" s="512"/>
      <c r="D535" s="585"/>
      <c r="E535" s="512"/>
      <c r="F535" s="512"/>
      <c r="G535" s="512"/>
      <c r="H535" s="512"/>
      <c r="I535" s="512"/>
      <c r="J535" s="512"/>
      <c r="K535" s="512"/>
      <c r="L535" s="512"/>
      <c r="M535" s="512"/>
      <c r="N535" s="512"/>
      <c r="O535" s="512"/>
      <c r="P535" s="512"/>
    </row>
    <row r="536" spans="1:16">
      <c r="A536" s="512"/>
      <c r="B536" s="512"/>
      <c r="C536" s="512"/>
      <c r="D536" s="585"/>
      <c r="E536" s="512"/>
      <c r="F536" s="512"/>
      <c r="G536" s="512"/>
      <c r="H536" s="512"/>
      <c r="I536" s="512"/>
      <c r="J536" s="512"/>
      <c r="K536" s="512"/>
      <c r="L536" s="512"/>
      <c r="M536" s="512"/>
      <c r="N536" s="512"/>
      <c r="O536" s="512"/>
      <c r="P536" s="512"/>
    </row>
    <row r="537" spans="1:16">
      <c r="A537" s="512"/>
      <c r="B537" s="512"/>
      <c r="C537" s="512"/>
      <c r="D537" s="585"/>
      <c r="E537" s="512"/>
      <c r="F537" s="512"/>
      <c r="G537" s="512"/>
      <c r="H537" s="512"/>
      <c r="I537" s="512"/>
      <c r="J537" s="512"/>
      <c r="K537" s="512"/>
      <c r="L537" s="512"/>
      <c r="M537" s="512"/>
      <c r="N537" s="512"/>
      <c r="O537" s="512"/>
      <c r="P537" s="512"/>
    </row>
    <row r="538" spans="1:16">
      <c r="A538" s="546" t="s">
        <v>1441</v>
      </c>
      <c r="B538" s="513" t="s">
        <v>1442</v>
      </c>
      <c r="C538" s="513"/>
      <c r="D538" s="555"/>
      <c r="E538" s="513"/>
    </row>
    <row r="539" spans="1:16">
      <c r="A539" s="513"/>
      <c r="B539" s="513" t="s">
        <v>1443</v>
      </c>
      <c r="C539" s="513"/>
      <c r="D539" s="555"/>
      <c r="E539" s="513"/>
    </row>
    <row r="540" spans="1:16">
      <c r="A540" s="513"/>
      <c r="B540" s="513" t="s">
        <v>1444</v>
      </c>
      <c r="C540" s="513"/>
      <c r="D540" s="555"/>
      <c r="E540" s="513"/>
    </row>
    <row r="541" spans="1:16">
      <c r="A541" s="513"/>
      <c r="B541" s="513"/>
      <c r="C541" s="513"/>
      <c r="D541" s="555"/>
      <c r="E541" s="513"/>
    </row>
    <row r="542" spans="1:16">
      <c r="A542" s="513"/>
      <c r="B542" s="513" t="s">
        <v>1445</v>
      </c>
      <c r="C542" s="513"/>
      <c r="D542" s="555"/>
      <c r="E542" s="513"/>
    </row>
    <row r="543" spans="1:16">
      <c r="A543" s="513"/>
      <c r="B543" s="513" t="s">
        <v>1446</v>
      </c>
      <c r="C543" s="513"/>
      <c r="D543" s="555"/>
      <c r="E543" s="513"/>
    </row>
    <row r="544" spans="1:16">
      <c r="A544" s="513"/>
      <c r="B544" s="513" t="s">
        <v>1447</v>
      </c>
      <c r="C544" s="513"/>
      <c r="D544" s="555"/>
      <c r="E544" s="513"/>
    </row>
    <row r="545" spans="1:5">
      <c r="A545" s="513"/>
      <c r="B545" s="513"/>
      <c r="C545" s="513"/>
      <c r="D545" s="555"/>
      <c r="E545" s="513"/>
    </row>
    <row r="546" spans="1:5">
      <c r="A546" s="513"/>
      <c r="B546" s="513" t="s">
        <v>1448</v>
      </c>
      <c r="C546" s="513" t="s">
        <v>1449</v>
      </c>
      <c r="D546" s="555" t="s">
        <v>1450</v>
      </c>
      <c r="E546" s="513"/>
    </row>
    <row r="547" spans="1:5">
      <c r="A547" s="513"/>
      <c r="B547" s="513"/>
      <c r="C547" s="513" t="s">
        <v>1451</v>
      </c>
      <c r="D547" s="555">
        <v>8</v>
      </c>
      <c r="E547" s="513"/>
    </row>
    <row r="548" spans="1:5">
      <c r="A548" s="513"/>
      <c r="B548" s="513"/>
      <c r="C548" s="513" t="s">
        <v>1452</v>
      </c>
      <c r="D548" s="555">
        <v>45</v>
      </c>
      <c r="E548" s="513"/>
    </row>
    <row r="549" spans="1:5">
      <c r="A549" s="513"/>
      <c r="B549" s="513"/>
      <c r="C549" s="513" t="s">
        <v>1453</v>
      </c>
      <c r="D549" s="555" t="s">
        <v>1454</v>
      </c>
      <c r="E549" s="513"/>
    </row>
    <row r="550" spans="1:5" ht="13.5" thickBot="1">
      <c r="A550" s="513"/>
      <c r="B550" s="513"/>
      <c r="C550" s="513"/>
      <c r="D550" s="555"/>
      <c r="E550" s="513"/>
    </row>
    <row r="551" spans="1:5" ht="13.5" thickBot="1">
      <c r="A551" s="513"/>
      <c r="B551" s="563"/>
      <c r="C551" s="513" t="s">
        <v>1455</v>
      </c>
      <c r="D551" s="555"/>
      <c r="E551" s="513"/>
    </row>
    <row r="552" spans="1:5" ht="13.5" thickBot="1">
      <c r="A552" s="513"/>
      <c r="B552" s="513"/>
      <c r="C552" s="513"/>
      <c r="D552" s="555"/>
      <c r="E552" s="513"/>
    </row>
    <row r="553" spans="1:5" ht="13.5" thickBot="1">
      <c r="A553" s="513"/>
      <c r="B553" s="513" t="s">
        <v>389</v>
      </c>
      <c r="C553" s="564" t="s">
        <v>1456</v>
      </c>
      <c r="D553" s="565">
        <v>400</v>
      </c>
      <c r="E553" s="513"/>
    </row>
    <row r="554" spans="1:5" ht="13.5" thickBot="1">
      <c r="A554" s="513"/>
      <c r="B554" s="513"/>
      <c r="C554" s="564" t="s">
        <v>1451</v>
      </c>
      <c r="D554" s="565">
        <v>8</v>
      </c>
      <c r="E554" s="513"/>
    </row>
    <row r="555" spans="1:5" ht="13.5" thickBot="1">
      <c r="A555" s="513"/>
      <c r="B555" s="513"/>
      <c r="C555" s="564" t="s">
        <v>1452</v>
      </c>
      <c r="D555" s="565">
        <v>45</v>
      </c>
      <c r="E555" s="513"/>
    </row>
    <row r="556" spans="1:5">
      <c r="A556" s="513"/>
      <c r="B556" s="513"/>
      <c r="C556" s="566"/>
      <c r="D556" s="567"/>
      <c r="E556" s="513"/>
    </row>
    <row r="557" spans="1:5">
      <c r="A557" s="513"/>
      <c r="B557" s="513"/>
      <c r="C557" s="566" t="s">
        <v>1457</v>
      </c>
      <c r="D557" s="568">
        <f>D555*SQRT(D553/100)</f>
        <v>90</v>
      </c>
      <c r="E557" s="513"/>
    </row>
    <row r="558" spans="1:5">
      <c r="A558" s="513"/>
      <c r="B558" s="513"/>
      <c r="C558" s="566" t="s">
        <v>1458</v>
      </c>
      <c r="D558" s="568">
        <f>D557/D554</f>
        <v>11.25</v>
      </c>
      <c r="E558" s="513"/>
    </row>
    <row r="559" spans="1:5">
      <c r="A559" s="513"/>
      <c r="B559" s="513"/>
      <c r="C559" s="513"/>
      <c r="D559" s="555"/>
      <c r="E559" s="513"/>
    </row>
    <row r="560" spans="1:5">
      <c r="A560" s="513"/>
      <c r="B560" s="513"/>
      <c r="C560" s="513"/>
      <c r="D560" s="555"/>
      <c r="E560" s="513"/>
    </row>
    <row r="561" spans="1:5">
      <c r="A561" s="513"/>
      <c r="B561" s="513" t="s">
        <v>1459</v>
      </c>
      <c r="C561" s="513"/>
      <c r="D561" s="555"/>
      <c r="E561" s="513"/>
    </row>
    <row r="562" spans="1:5">
      <c r="A562" s="513"/>
      <c r="B562" s="513" t="s">
        <v>1460</v>
      </c>
      <c r="C562" s="513"/>
      <c r="D562" s="555"/>
      <c r="E562" s="513"/>
    </row>
    <row r="563" spans="1:5">
      <c r="A563" s="513"/>
      <c r="B563" s="513" t="s">
        <v>1447</v>
      </c>
      <c r="C563" s="513"/>
      <c r="D563" s="555"/>
      <c r="E563" s="513"/>
    </row>
    <row r="564" spans="1:5">
      <c r="A564" s="513"/>
      <c r="B564" s="513"/>
      <c r="C564" s="513"/>
      <c r="D564" s="555"/>
      <c r="E564" s="513"/>
    </row>
    <row r="565" spans="1:5">
      <c r="A565" s="513"/>
      <c r="B565" s="513" t="s">
        <v>1448</v>
      </c>
      <c r="C565" s="513" t="s">
        <v>1449</v>
      </c>
      <c r="D565" s="555"/>
      <c r="E565" s="513"/>
    </row>
    <row r="566" spans="1:5">
      <c r="A566" s="513"/>
      <c r="B566" s="513"/>
      <c r="C566" s="513" t="s">
        <v>1453</v>
      </c>
      <c r="D566" s="555"/>
      <c r="E566" s="513"/>
    </row>
    <row r="567" spans="1:5">
      <c r="A567" s="513"/>
      <c r="B567" s="513"/>
      <c r="C567" s="513" t="s">
        <v>1452</v>
      </c>
      <c r="D567" s="555"/>
      <c r="E567" s="513"/>
    </row>
    <row r="568" spans="1:5">
      <c r="A568" s="513"/>
      <c r="B568" s="513"/>
      <c r="C568" s="513" t="s">
        <v>1451</v>
      </c>
      <c r="D568" s="555"/>
      <c r="E568" s="513"/>
    </row>
    <row r="569" spans="1:5" ht="13.5" thickBot="1">
      <c r="A569" s="513"/>
      <c r="B569" s="513"/>
      <c r="C569" s="513"/>
      <c r="D569" s="555"/>
      <c r="E569" s="513"/>
    </row>
    <row r="570" spans="1:5" ht="13.5" thickBot="1">
      <c r="A570" s="513"/>
      <c r="B570" s="513" t="s">
        <v>391</v>
      </c>
      <c r="C570" s="564" t="s">
        <v>1456</v>
      </c>
      <c r="D570" s="565">
        <v>400</v>
      </c>
      <c r="E570" s="513"/>
    </row>
    <row r="571" spans="1:5" ht="13.5" thickBot="1">
      <c r="A571" s="513"/>
      <c r="B571" s="513"/>
      <c r="C571" s="564" t="s">
        <v>1458</v>
      </c>
      <c r="D571" s="569">
        <v>11.25</v>
      </c>
      <c r="E571" s="513"/>
    </row>
    <row r="572" spans="1:5" ht="13.5" thickBot="1">
      <c r="A572" s="513"/>
      <c r="B572" s="513"/>
      <c r="C572" s="564" t="s">
        <v>1452</v>
      </c>
      <c r="D572" s="565">
        <v>45</v>
      </c>
      <c r="E572" s="513"/>
    </row>
    <row r="573" spans="1:5">
      <c r="A573" s="513"/>
      <c r="B573" s="513"/>
      <c r="C573" s="566"/>
      <c r="D573" s="567"/>
      <c r="E573" s="513"/>
    </row>
    <row r="574" spans="1:5">
      <c r="A574" s="513"/>
      <c r="B574" s="513"/>
      <c r="C574" s="566" t="s">
        <v>1457</v>
      </c>
      <c r="D574" s="568">
        <f>D572*SQRT(D570/100)</f>
        <v>90</v>
      </c>
      <c r="E574" s="513"/>
    </row>
    <row r="575" spans="1:5">
      <c r="A575" s="513"/>
      <c r="B575" s="513"/>
      <c r="C575" s="566" t="s">
        <v>1451</v>
      </c>
      <c r="D575" s="568">
        <f>D574/D571</f>
        <v>8</v>
      </c>
      <c r="E575" s="513"/>
    </row>
    <row r="576" spans="1:5">
      <c r="A576" s="513"/>
      <c r="B576" s="513"/>
      <c r="C576" s="513"/>
      <c r="D576" s="555"/>
      <c r="E576" s="513"/>
    </row>
    <row r="577" spans="1:5">
      <c r="A577" s="513"/>
      <c r="B577" s="513"/>
      <c r="C577" s="513"/>
      <c r="D577" s="555"/>
      <c r="E577" s="513"/>
    </row>
    <row r="578" spans="1:5">
      <c r="A578" s="513"/>
      <c r="B578" s="513" t="s">
        <v>1461</v>
      </c>
      <c r="C578" s="513"/>
      <c r="D578" s="555"/>
      <c r="E578" s="513"/>
    </row>
    <row r="579" spans="1:5">
      <c r="A579" s="513"/>
      <c r="B579" s="513" t="s">
        <v>1462</v>
      </c>
      <c r="C579" s="513"/>
      <c r="D579" s="555"/>
      <c r="E579" s="513"/>
    </row>
    <row r="580" spans="1:5">
      <c r="A580" s="513"/>
      <c r="B580" s="513" t="s">
        <v>1463</v>
      </c>
      <c r="C580" s="513"/>
      <c r="D580" s="555"/>
      <c r="E580" s="513"/>
    </row>
    <row r="581" spans="1:5">
      <c r="A581" s="513"/>
      <c r="B581" s="513"/>
      <c r="C581" s="513"/>
      <c r="D581" s="555"/>
      <c r="E581" s="513"/>
    </row>
    <row r="582" spans="1:5">
      <c r="A582" s="513"/>
      <c r="B582" s="513" t="s">
        <v>1448</v>
      </c>
      <c r="C582" s="513" t="s">
        <v>1449</v>
      </c>
      <c r="D582" s="555"/>
      <c r="E582" s="513"/>
    </row>
    <row r="583" spans="1:5">
      <c r="A583" s="513"/>
      <c r="B583" s="513"/>
      <c r="C583" s="513" t="s">
        <v>1451</v>
      </c>
      <c r="D583" s="555"/>
      <c r="E583" s="513"/>
    </row>
    <row r="584" spans="1:5">
      <c r="A584" s="513"/>
      <c r="B584" s="513"/>
      <c r="C584" s="513" t="s">
        <v>1453</v>
      </c>
      <c r="D584" s="555"/>
      <c r="E584" s="513"/>
    </row>
    <row r="585" spans="1:5">
      <c r="A585" s="513"/>
      <c r="B585" s="513"/>
      <c r="C585" s="513" t="s">
        <v>1452</v>
      </c>
      <c r="D585" s="555"/>
      <c r="E585" s="513"/>
    </row>
    <row r="586" spans="1:5" ht="13.5" thickBot="1">
      <c r="A586" s="513"/>
      <c r="B586" s="513"/>
      <c r="C586" s="513"/>
      <c r="D586" s="555"/>
      <c r="E586" s="513"/>
    </row>
    <row r="587" spans="1:5" ht="13.5" thickBot="1">
      <c r="A587" s="513"/>
      <c r="B587" s="513" t="s">
        <v>396</v>
      </c>
      <c r="C587" s="564" t="s">
        <v>1456</v>
      </c>
      <c r="D587" s="565">
        <v>400</v>
      </c>
      <c r="E587" s="513"/>
    </row>
    <row r="588" spans="1:5" ht="13.5" thickBot="1">
      <c r="A588" s="513"/>
      <c r="B588" s="513"/>
      <c r="C588" s="564" t="s">
        <v>1451</v>
      </c>
      <c r="D588" s="565">
        <v>8</v>
      </c>
      <c r="E588" s="513"/>
    </row>
    <row r="589" spans="1:5" ht="13.5" thickBot="1">
      <c r="A589" s="513"/>
      <c r="B589" s="513"/>
      <c r="C589" s="564" t="s">
        <v>1458</v>
      </c>
      <c r="D589" s="569">
        <v>11.25</v>
      </c>
      <c r="E589" s="513"/>
    </row>
    <row r="590" spans="1:5">
      <c r="A590" s="513"/>
      <c r="B590" s="513"/>
      <c r="C590" s="566"/>
      <c r="D590" s="567"/>
      <c r="E590" s="513"/>
    </row>
    <row r="591" spans="1:5">
      <c r="A591" s="513"/>
      <c r="B591" s="513"/>
      <c r="C591" s="566" t="s">
        <v>1457</v>
      </c>
      <c r="D591" s="568">
        <f>D588*D589</f>
        <v>90</v>
      </c>
      <c r="E591" s="513"/>
    </row>
    <row r="592" spans="1:5">
      <c r="A592" s="513"/>
      <c r="B592" s="513"/>
      <c r="C592" s="566" t="s">
        <v>1452</v>
      </c>
      <c r="D592" s="570">
        <f>D591/SQRT(D587/100)</f>
        <v>45</v>
      </c>
      <c r="E592" s="513"/>
    </row>
    <row r="593" spans="1:5">
      <c r="A593" s="513"/>
      <c r="B593" s="513"/>
      <c r="C593" s="513"/>
      <c r="D593" s="555"/>
      <c r="E593" s="513"/>
    </row>
    <row r="594" spans="1:5" ht="13.5" thickBot="1">
      <c r="A594" s="571"/>
      <c r="B594" s="571"/>
      <c r="C594" s="571"/>
      <c r="D594" s="572"/>
      <c r="E594" s="571"/>
    </row>
    <row r="595" spans="1:5">
      <c r="A595" s="513"/>
      <c r="B595" s="513"/>
      <c r="C595" s="513"/>
      <c r="D595" s="555"/>
      <c r="E595" s="513"/>
    </row>
    <row r="596" spans="1:5">
      <c r="A596" s="513"/>
      <c r="B596" s="513" t="s">
        <v>1464</v>
      </c>
      <c r="C596" s="513"/>
      <c r="D596" s="555"/>
      <c r="E596" s="513"/>
    </row>
    <row r="597" spans="1:5">
      <c r="A597" s="513"/>
      <c r="B597" s="513" t="s">
        <v>1465</v>
      </c>
      <c r="C597" s="513"/>
      <c r="D597" s="555"/>
      <c r="E597" s="513"/>
    </row>
    <row r="598" spans="1:5">
      <c r="A598" s="513"/>
      <c r="B598" s="513"/>
      <c r="C598" s="513"/>
      <c r="D598" s="555"/>
      <c r="E598" s="513"/>
    </row>
    <row r="599" spans="1:5" ht="13.5" thickBot="1">
      <c r="A599" s="513"/>
      <c r="B599" s="513"/>
      <c r="C599" s="513"/>
      <c r="D599" s="555"/>
      <c r="E599" s="513"/>
    </row>
    <row r="600" spans="1:5" ht="13.5" thickBot="1">
      <c r="A600" s="513"/>
      <c r="B600" s="535" t="s">
        <v>1466</v>
      </c>
      <c r="C600" s="565">
        <v>90</v>
      </c>
      <c r="D600" s="512"/>
      <c r="E600" s="513"/>
    </row>
    <row r="601" spans="1:5">
      <c r="A601" s="513"/>
      <c r="C601" s="512"/>
      <c r="E601" s="280"/>
    </row>
    <row r="602" spans="1:5">
      <c r="A602" s="513"/>
      <c r="B602" s="535"/>
      <c r="C602" s="535"/>
      <c r="D602" s="555" t="s">
        <v>1271</v>
      </c>
      <c r="E602" s="280"/>
    </row>
    <row r="603" spans="1:5" ht="13.5" thickBot="1">
      <c r="A603" s="513"/>
      <c r="B603" s="513"/>
      <c r="C603" s="555" t="s">
        <v>124</v>
      </c>
      <c r="D603" s="520" t="s">
        <v>1467</v>
      </c>
      <c r="E603" s="513"/>
    </row>
    <row r="604" spans="1:5" ht="13.5" thickBot="1">
      <c r="A604" s="513"/>
      <c r="B604" s="513"/>
      <c r="C604" s="569">
        <v>1</v>
      </c>
      <c r="D604" s="510">
        <f>$C$600/C604</f>
        <v>90</v>
      </c>
      <c r="E604" s="513"/>
    </row>
    <row r="605" spans="1:5">
      <c r="A605" s="513"/>
      <c r="B605" s="513"/>
      <c r="C605" s="573">
        <f t="shared" ref="C605:C614" si="50">C604*SQRT(2)</f>
        <v>1.4142135623730951</v>
      </c>
      <c r="D605" s="510">
        <f t="shared" ref="D605:D614" si="51">$C$600/C605</f>
        <v>63.639610306789272</v>
      </c>
      <c r="E605" s="513"/>
    </row>
    <row r="606" spans="1:5">
      <c r="A606" s="513"/>
      <c r="B606" s="513"/>
      <c r="C606" s="568">
        <f t="shared" si="50"/>
        <v>2.0000000000000004</v>
      </c>
      <c r="D606" s="510">
        <f t="shared" si="51"/>
        <v>44.999999999999993</v>
      </c>
      <c r="E606" s="513"/>
    </row>
    <row r="607" spans="1:5">
      <c r="A607" s="513"/>
      <c r="B607" s="513"/>
      <c r="C607" s="568">
        <f t="shared" si="50"/>
        <v>2.8284271247461907</v>
      </c>
      <c r="D607" s="510">
        <f t="shared" si="51"/>
        <v>31.819805153394633</v>
      </c>
      <c r="E607" s="513"/>
    </row>
    <row r="608" spans="1:5">
      <c r="A608" s="513"/>
      <c r="B608" s="513"/>
      <c r="C608" s="568">
        <f t="shared" si="50"/>
        <v>4.0000000000000009</v>
      </c>
      <c r="D608" s="510">
        <f t="shared" si="51"/>
        <v>22.499999999999996</v>
      </c>
      <c r="E608" s="513"/>
    </row>
    <row r="609" spans="1:5">
      <c r="A609" s="513"/>
      <c r="B609" s="513"/>
      <c r="C609" s="568">
        <f t="shared" si="50"/>
        <v>5.6568542494923815</v>
      </c>
      <c r="D609" s="510">
        <f t="shared" si="51"/>
        <v>15.909902576697316</v>
      </c>
      <c r="E609" s="513"/>
    </row>
    <row r="610" spans="1:5">
      <c r="A610" s="513"/>
      <c r="B610" s="513"/>
      <c r="C610" s="568">
        <f t="shared" si="50"/>
        <v>8.0000000000000018</v>
      </c>
      <c r="D610" s="510">
        <f t="shared" si="51"/>
        <v>11.249999999999998</v>
      </c>
      <c r="E610" s="513"/>
    </row>
    <row r="611" spans="1:5">
      <c r="A611" s="513"/>
      <c r="B611" s="513"/>
      <c r="C611" s="568">
        <f t="shared" si="50"/>
        <v>11.313708498984763</v>
      </c>
      <c r="D611" s="510">
        <f t="shared" si="51"/>
        <v>7.9549512883486582</v>
      </c>
      <c r="E611" s="513"/>
    </row>
    <row r="612" spans="1:5">
      <c r="A612" s="513"/>
      <c r="B612" s="513"/>
      <c r="C612" s="568">
        <f t="shared" si="50"/>
        <v>16.000000000000004</v>
      </c>
      <c r="D612" s="510">
        <f t="shared" si="51"/>
        <v>5.6249999999999991</v>
      </c>
      <c r="E612" s="513"/>
    </row>
    <row r="613" spans="1:5">
      <c r="A613" s="513"/>
      <c r="B613" s="513"/>
      <c r="C613" s="568">
        <f t="shared" si="50"/>
        <v>22.627416997969526</v>
      </c>
      <c r="D613" s="510">
        <f t="shared" si="51"/>
        <v>3.9774756441743291</v>
      </c>
      <c r="E613" s="513"/>
    </row>
    <row r="614" spans="1:5">
      <c r="A614" s="513"/>
      <c r="B614" s="513"/>
      <c r="C614" s="568">
        <f t="shared" si="50"/>
        <v>32.000000000000007</v>
      </c>
      <c r="D614" s="510">
        <f t="shared" si="51"/>
        <v>2.8124999999999996</v>
      </c>
      <c r="E614" s="513"/>
    </row>
    <row r="615" spans="1:5">
      <c r="A615" s="513"/>
      <c r="B615" s="513"/>
      <c r="C615" s="513"/>
      <c r="D615" s="555"/>
      <c r="E615" s="513"/>
    </row>
    <row r="616" spans="1:5">
      <c r="A616" s="513"/>
      <c r="B616" s="552"/>
      <c r="C616" s="513"/>
      <c r="D616" s="555"/>
      <c r="E616" s="513"/>
    </row>
    <row r="617" spans="1:5">
      <c r="A617" s="513"/>
      <c r="B617" s="552"/>
      <c r="C617" s="513"/>
      <c r="D617" s="555"/>
      <c r="E617" s="513"/>
    </row>
    <row r="618" spans="1:5">
      <c r="A618" s="513"/>
      <c r="B618" s="552" t="s">
        <v>1535</v>
      </c>
      <c r="C618" s="513"/>
      <c r="D618" s="555"/>
      <c r="E618" s="513"/>
    </row>
    <row r="619" spans="1:5">
      <c r="A619" s="513"/>
      <c r="B619" s="552" t="s">
        <v>1536</v>
      </c>
      <c r="C619" s="513"/>
      <c r="D619" s="555"/>
      <c r="E619" s="513"/>
    </row>
    <row r="620" spans="1:5">
      <c r="A620" s="513"/>
      <c r="B620" s="552"/>
      <c r="C620" s="513"/>
      <c r="D620" s="555"/>
      <c r="E620" s="513"/>
    </row>
    <row r="621" spans="1:5">
      <c r="A621" s="513"/>
      <c r="B621" s="552"/>
      <c r="C621" s="513"/>
      <c r="D621" s="555"/>
      <c r="E621" s="513"/>
    </row>
    <row r="622" spans="1:5">
      <c r="A622" s="513"/>
      <c r="B622" s="513"/>
      <c r="C622" s="513"/>
      <c r="D622" s="555"/>
      <c r="E622" s="513"/>
    </row>
    <row r="623" spans="1:5">
      <c r="A623" s="513"/>
      <c r="B623" s="513"/>
      <c r="C623" s="513"/>
      <c r="D623" s="555"/>
      <c r="E623" s="513"/>
    </row>
    <row r="624" spans="1:5">
      <c r="A624" s="513"/>
      <c r="B624" s="513"/>
      <c r="C624" s="513"/>
      <c r="D624" s="555"/>
      <c r="E624" s="513"/>
    </row>
    <row r="625" spans="1:5">
      <c r="A625" s="513"/>
      <c r="B625" s="513"/>
      <c r="C625" s="513"/>
      <c r="D625" s="555"/>
      <c r="E625" s="513"/>
    </row>
    <row r="626" spans="1:5">
      <c r="A626" s="513"/>
      <c r="B626" s="513"/>
      <c r="C626" s="513"/>
      <c r="D626" s="555"/>
      <c r="E626" s="513"/>
    </row>
    <row r="627" spans="1:5">
      <c r="A627" s="513"/>
      <c r="B627" s="513"/>
      <c r="C627" s="513"/>
      <c r="D627" s="555"/>
      <c r="E627" s="513"/>
    </row>
    <row r="628" spans="1:5">
      <c r="A628" s="513"/>
      <c r="B628" s="513"/>
      <c r="C628" s="513"/>
      <c r="D628" s="555"/>
      <c r="E628" s="513"/>
    </row>
    <row r="629" spans="1:5">
      <c r="A629" s="513"/>
      <c r="B629" s="513"/>
      <c r="C629" s="513"/>
      <c r="D629" s="555"/>
      <c r="E629" s="513"/>
    </row>
    <row r="630" spans="1:5">
      <c r="A630" s="513"/>
      <c r="B630" s="513"/>
      <c r="C630" s="513"/>
      <c r="D630" s="555"/>
      <c r="E630" s="513"/>
    </row>
    <row r="631" spans="1:5">
      <c r="A631" s="513"/>
      <c r="B631" s="513"/>
      <c r="C631" s="513"/>
      <c r="D631" s="555"/>
      <c r="E631" s="513"/>
    </row>
    <row r="632" spans="1:5">
      <c r="A632" s="513"/>
      <c r="B632" s="513"/>
      <c r="C632" s="513"/>
      <c r="D632" s="555"/>
      <c r="E632" s="513"/>
    </row>
    <row r="633" spans="1:5">
      <c r="A633" s="513"/>
      <c r="B633" s="513"/>
      <c r="C633" s="513"/>
      <c r="D633" s="555"/>
      <c r="E633" s="513"/>
    </row>
    <row r="634" spans="1:5">
      <c r="A634" s="513"/>
      <c r="B634" s="513"/>
      <c r="C634" s="513"/>
      <c r="D634" s="555"/>
      <c r="E634" s="513"/>
    </row>
    <row r="635" spans="1:5">
      <c r="A635" s="513"/>
      <c r="B635" s="513"/>
      <c r="C635" s="513"/>
      <c r="D635" s="555"/>
      <c r="E635" s="513"/>
    </row>
    <row r="636" spans="1:5">
      <c r="A636" s="513"/>
      <c r="B636" s="513"/>
      <c r="C636" s="513"/>
      <c r="D636" s="555"/>
      <c r="E636" s="513"/>
    </row>
    <row r="637" spans="1:5">
      <c r="A637" s="513"/>
      <c r="B637" s="513"/>
      <c r="C637" s="513"/>
      <c r="D637" s="555"/>
      <c r="E637" s="513"/>
    </row>
    <row r="638" spans="1:5">
      <c r="A638" s="513"/>
      <c r="B638" s="513"/>
      <c r="C638" s="513"/>
      <c r="D638" s="555"/>
      <c r="E638" s="513"/>
    </row>
    <row r="639" spans="1:5">
      <c r="A639" s="513"/>
      <c r="B639" s="513"/>
      <c r="C639" s="513"/>
      <c r="D639" s="555"/>
      <c r="E639" s="513"/>
    </row>
    <row r="640" spans="1:5">
      <c r="A640" s="513"/>
      <c r="B640" s="513"/>
      <c r="C640" s="513"/>
      <c r="D640" s="555"/>
      <c r="E640" s="513"/>
    </row>
    <row r="641" spans="1:11">
      <c r="A641" s="513"/>
      <c r="B641" s="513"/>
      <c r="C641" s="513"/>
      <c r="D641" s="555"/>
      <c r="E641" s="513"/>
    </row>
    <row r="642" spans="1:11">
      <c r="A642" s="513"/>
      <c r="B642" s="513"/>
      <c r="C642" s="513"/>
      <c r="D642" s="555"/>
      <c r="E642" s="513"/>
    </row>
    <row r="643" spans="1:11">
      <c r="A643" s="513"/>
      <c r="B643" s="513"/>
      <c r="C643" s="513"/>
      <c r="D643" s="555"/>
      <c r="E643" s="513"/>
    </row>
    <row r="644" spans="1:11">
      <c r="A644" s="513"/>
      <c r="B644" s="513"/>
      <c r="C644" s="513"/>
      <c r="D644" s="555"/>
      <c r="E644" s="513"/>
    </row>
    <row r="645" spans="1:11">
      <c r="A645" s="513"/>
      <c r="B645" s="513"/>
      <c r="C645" s="513"/>
      <c r="D645" s="555"/>
      <c r="E645" s="513"/>
    </row>
    <row r="646" spans="1:11">
      <c r="A646" s="513"/>
      <c r="B646" s="513"/>
      <c r="C646" s="513"/>
      <c r="D646" s="555"/>
      <c r="E646" s="513"/>
    </row>
    <row r="647" spans="1:11">
      <c r="A647" s="513"/>
      <c r="B647" s="513"/>
      <c r="C647" s="513"/>
      <c r="D647" s="555"/>
      <c r="E647" s="513"/>
    </row>
    <row r="648" spans="1:11">
      <c r="A648" s="513"/>
      <c r="B648" s="513"/>
      <c r="C648" s="513"/>
      <c r="D648" s="555"/>
      <c r="E648" s="513"/>
    </row>
    <row r="653" spans="1:11">
      <c r="A653" s="287"/>
      <c r="B653" s="287"/>
      <c r="C653" s="287"/>
      <c r="D653" s="1"/>
      <c r="E653" s="1"/>
      <c r="F653" s="1"/>
      <c r="G653" s="1"/>
      <c r="H653" s="26"/>
      <c r="I653" s="26"/>
      <c r="J653" s="26"/>
      <c r="K653" s="1"/>
    </row>
    <row r="654" spans="1:11">
      <c r="A654" s="287"/>
      <c r="B654" s="287" t="s">
        <v>1733</v>
      </c>
      <c r="C654" s="287"/>
      <c r="D654" s="1"/>
      <c r="E654" s="1"/>
      <c r="F654" s="1"/>
      <c r="G654" s="1"/>
      <c r="H654" s="26"/>
      <c r="I654" s="26"/>
      <c r="J654" s="26"/>
      <c r="K654" s="1"/>
    </row>
    <row r="655" spans="1:11">
      <c r="A655" s="287"/>
      <c r="B655" s="287" t="s">
        <v>1734</v>
      </c>
      <c r="C655" s="287"/>
      <c r="D655" s="1"/>
      <c r="E655" s="1"/>
      <c r="F655" s="1"/>
      <c r="G655" s="1"/>
      <c r="H655" s="1"/>
      <c r="I655" s="1"/>
      <c r="J655" s="1"/>
      <c r="K655" s="1"/>
    </row>
    <row r="656" spans="1:11">
      <c r="A656" s="287"/>
      <c r="B656" s="287" t="s">
        <v>1735</v>
      </c>
      <c r="C656" s="287"/>
      <c r="D656" s="1"/>
      <c r="E656" s="1"/>
      <c r="F656" s="1"/>
      <c r="G656" s="1"/>
      <c r="H656" s="1"/>
      <c r="I656" s="1"/>
      <c r="J656" s="1"/>
      <c r="K656" s="1"/>
    </row>
    <row r="657" spans="1:11">
      <c r="A657" s="287"/>
      <c r="B657"/>
      <c r="C657" s="1"/>
      <c r="D657" s="1"/>
      <c r="E657" s="376"/>
      <c r="F657" s="1"/>
      <c r="G657" s="1"/>
      <c r="H657" s="1"/>
      <c r="I657" s="1"/>
      <c r="J657" s="1"/>
      <c r="K657" s="1"/>
    </row>
    <row r="658" spans="1:11">
      <c r="A658" s="165" t="s">
        <v>1736</v>
      </c>
      <c r="B658" s="680">
        <v>0.01</v>
      </c>
      <c r="C658" s="364" t="s">
        <v>853</v>
      </c>
      <c r="D658" s="1" t="str">
        <f>"entspricht 1/"&amp;ROUND(1/B658,1)&amp;" Sekunde (n)"</f>
        <v>entspricht 1/100 Sekunde (n)</v>
      </c>
      <c r="E658" s="1"/>
      <c r="F658" s="1"/>
      <c r="G658" s="1"/>
      <c r="H658" s="1"/>
      <c r="I658" s="1"/>
      <c r="J658" s="1"/>
      <c r="K658" s="1"/>
    </row>
    <row r="659" spans="1:11">
      <c r="A659" s="165" t="s">
        <v>1356</v>
      </c>
      <c r="B659" s="326">
        <v>5.6</v>
      </c>
      <c r="C659" s="1"/>
      <c r="D659" s="376"/>
      <c r="E659" s="1"/>
      <c r="F659" s="1"/>
      <c r="G659" s="1"/>
      <c r="H659" s="1"/>
      <c r="I659" s="1"/>
      <c r="J659" s="1"/>
      <c r="K659" s="1"/>
    </row>
    <row r="660" spans="1:11">
      <c r="A660" s="165" t="s">
        <v>1702</v>
      </c>
      <c r="B660" s="326">
        <v>2.7</v>
      </c>
      <c r="C660" s="1"/>
      <c r="D660" s="1"/>
      <c r="E660" s="1"/>
      <c r="F660" s="1"/>
      <c r="G660" s="1"/>
      <c r="H660" s="1"/>
      <c r="I660" s="1"/>
      <c r="J660" s="1"/>
      <c r="K660" s="1"/>
    </row>
    <row r="661" spans="1:11">
      <c r="A661" s="165"/>
      <c r="B661" s="165"/>
      <c r="C661" s="1"/>
      <c r="D661" s="1"/>
      <c r="E661" s="1"/>
      <c r="F661" s="1"/>
      <c r="G661" s="1"/>
      <c r="H661" s="1"/>
      <c r="I661" s="1"/>
      <c r="J661" s="1"/>
      <c r="K661" s="1"/>
    </row>
    <row r="662" spans="1:11">
      <c r="A662" s="165" t="s">
        <v>1737</v>
      </c>
      <c r="B662" s="57">
        <f>LOG10(B660)/LOG10(2)</f>
        <v>1.4329594072761063</v>
      </c>
      <c r="C662" s="1"/>
      <c r="D662" s="1"/>
      <c r="E662" s="1"/>
      <c r="F662" s="1" t="s">
        <v>1738</v>
      </c>
      <c r="G662" s="1"/>
      <c r="H662" s="1"/>
      <c r="I662" s="1"/>
      <c r="J662" s="1"/>
      <c r="K662" s="1"/>
    </row>
    <row r="663" spans="1:11">
      <c r="A663" s="165" t="s">
        <v>1739</v>
      </c>
      <c r="B663" s="292">
        <f>B658*B660</f>
        <v>2.7000000000000003E-2</v>
      </c>
      <c r="C663" s="364" t="s">
        <v>853</v>
      </c>
      <c r="D663" s="1" t="str">
        <f>"entspricht 1/"&amp;ROUND(1/B663,1)&amp;" Sekunde (n)"</f>
        <v>entspricht 1/37 Sekunde (n)</v>
      </c>
      <c r="E663" s="1"/>
      <c r="F663" s="292" t="s">
        <v>1740</v>
      </c>
      <c r="G663" s="1"/>
      <c r="H663" s="1"/>
      <c r="I663" s="1"/>
      <c r="J663" s="1"/>
      <c r="K663" s="1"/>
    </row>
    <row r="664" spans="1:11">
      <c r="A664" s="287"/>
      <c r="B664" s="56" t="s">
        <v>471</v>
      </c>
      <c r="C664" s="1"/>
      <c r="D664" s="1"/>
      <c r="E664" s="1"/>
      <c r="F664" s="1"/>
      <c r="G664" s="1"/>
      <c r="H664" s="1"/>
      <c r="I664" s="1"/>
      <c r="J664" s="1"/>
      <c r="K664" s="1"/>
    </row>
    <row r="665" spans="1:11">
      <c r="A665" s="165" t="s">
        <v>1741</v>
      </c>
      <c r="B665" s="292">
        <f>B659*1/SQRT(B660)</f>
        <v>3.4080514689210331</v>
      </c>
      <c r="C665" s="1"/>
      <c r="D665" s="1"/>
      <c r="E665" s="1"/>
      <c r="F665" s="1" t="s">
        <v>1742</v>
      </c>
      <c r="G665" s="1"/>
      <c r="H665" s="1"/>
      <c r="I665" s="1"/>
      <c r="J665" s="1"/>
      <c r="K665" s="1"/>
    </row>
    <row r="666" spans="1:11">
      <c r="A666" s="165"/>
      <c r="B666" s="292"/>
      <c r="C666" s="1"/>
      <c r="D666" s="1"/>
      <c r="E666" s="1"/>
      <c r="F666" s="1"/>
      <c r="G666" s="1"/>
      <c r="H666" s="1"/>
      <c r="I666" s="1"/>
      <c r="J666" s="1"/>
      <c r="K666" s="1"/>
    </row>
    <row r="667" spans="1:11">
      <c r="A667" s="165"/>
      <c r="B667" s="1" t="str">
        <f>"Stellen Sie bitte eine Verschlusszeit von "&amp;ROUND(B663,2)&amp;" Sekunden, also 1/"&amp;ROUND(1/B663,1)&amp;" Sekunde ein!"</f>
        <v>Stellen Sie bitte eine Verschlusszeit von 0,03 Sekunden, also 1/37 Sekunde ein!</v>
      </c>
      <c r="C667" s="1"/>
      <c r="D667" s="1"/>
      <c r="E667" s="1"/>
      <c r="F667" s="1"/>
      <c r="G667" s="1"/>
      <c r="H667" s="1"/>
      <c r="I667" s="1"/>
      <c r="J667" s="1"/>
      <c r="K667" s="1"/>
    </row>
    <row r="668" spans="1:11">
      <c r="A668" s="165"/>
      <c r="B668" s="1" t="s">
        <v>471</v>
      </c>
      <c r="C668" s="1"/>
      <c r="D668" s="1"/>
      <c r="E668" s="1"/>
      <c r="F668" s="1"/>
      <c r="G668" s="1"/>
      <c r="H668" s="1"/>
      <c r="I668" s="1"/>
      <c r="J668" s="1"/>
      <c r="K668" s="1"/>
    </row>
    <row r="669" spans="1:11">
      <c r="A669" s="165"/>
      <c r="B669" s="1" t="str">
        <f>"Stellen Sie bitte Blende "&amp;ROUND(B665,2)&amp;" ein!"</f>
        <v>Stellen Sie bitte Blende 3,41 ein!</v>
      </c>
      <c r="C669" s="1"/>
      <c r="D669" s="1"/>
      <c r="E669" s="1"/>
      <c r="F669" s="1"/>
      <c r="G669" s="1"/>
      <c r="H669" s="1"/>
      <c r="I669" s="1"/>
      <c r="J669" s="1"/>
      <c r="K669" s="1"/>
    </row>
    <row r="670" spans="1:11">
      <c r="A670" s="226"/>
      <c r="B670" s="11"/>
      <c r="C670" s="11"/>
      <c r="D670" s="11"/>
      <c r="E670" s="11"/>
      <c r="F670" s="11"/>
      <c r="G670" s="11"/>
      <c r="H670" s="11"/>
      <c r="I670" s="11"/>
      <c r="J670" s="11"/>
      <c r="K670" s="11"/>
    </row>
    <row r="671" spans="1:11">
      <c r="A671" s="1"/>
      <c r="B671" s="1"/>
      <c r="C671" s="1"/>
      <c r="D671" s="1"/>
      <c r="E671" s="1"/>
      <c r="F671" s="1"/>
      <c r="G671" s="1"/>
      <c r="H671" s="1"/>
      <c r="I671" s="1"/>
      <c r="J671" s="1"/>
      <c r="K671" s="1"/>
    </row>
    <row r="672" spans="1:11">
      <c r="A672" s="1"/>
      <c r="B672" s="1"/>
      <c r="C672" s="1"/>
      <c r="D672" s="1"/>
      <c r="E672" s="1"/>
      <c r="F672" s="1"/>
      <c r="G672" s="1"/>
      <c r="H672" s="1"/>
      <c r="I672" s="1"/>
      <c r="J672" s="1"/>
      <c r="K672" s="1"/>
    </row>
    <row r="673" spans="1:11">
      <c r="A673" s="26" t="s">
        <v>1743</v>
      </c>
      <c r="B673" s="1" t="s">
        <v>1744</v>
      </c>
      <c r="C673" s="1"/>
      <c r="D673" s="1"/>
      <c r="E673" s="1"/>
      <c r="F673" s="1"/>
      <c r="G673" s="1"/>
      <c r="H673" s="1"/>
      <c r="I673" s="1"/>
      <c r="J673" s="1"/>
      <c r="K673" s="1"/>
    </row>
    <row r="674" spans="1:11">
      <c r="A674" s="287"/>
      <c r="B674" s="1"/>
      <c r="C674" s="1"/>
      <c r="D674" s="1"/>
      <c r="E674" s="1"/>
      <c r="F674" s="1"/>
      <c r="G674" s="1"/>
      <c r="H674" s="1"/>
      <c r="I674" s="1"/>
      <c r="J674" s="1"/>
      <c r="K674" s="1"/>
    </row>
    <row r="675" spans="1:11">
      <c r="A675" s="165"/>
      <c r="B675" s="1" t="s">
        <v>1745</v>
      </c>
      <c r="C675" s="1"/>
      <c r="D675" s="1"/>
      <c r="E675" s="1"/>
      <c r="F675" s="1"/>
      <c r="G675" s="1"/>
      <c r="H675" s="1"/>
      <c r="I675" s="1"/>
      <c r="J675" s="1"/>
      <c r="K675" s="1"/>
    </row>
    <row r="676" spans="1:11">
      <c r="A676" s="165"/>
      <c r="B676" s="1" t="s">
        <v>1746</v>
      </c>
      <c r="C676" s="1"/>
      <c r="D676" s="1"/>
      <c r="E676" s="1"/>
      <c r="F676" s="1"/>
      <c r="G676" s="1"/>
      <c r="H676" s="1"/>
      <c r="I676" s="1"/>
      <c r="J676" s="1"/>
      <c r="K676" s="1"/>
    </row>
    <row r="677" spans="1:11">
      <c r="A677" s="165"/>
      <c r="B677" s="1" t="s">
        <v>1747</v>
      </c>
      <c r="C677" s="1"/>
      <c r="D677" s="1"/>
      <c r="E677" s="1"/>
      <c r="F677" s="1"/>
      <c r="G677" s="1"/>
      <c r="H677" s="1"/>
      <c r="I677" s="1"/>
      <c r="J677" s="1"/>
      <c r="K677" s="1"/>
    </row>
    <row r="678" spans="1:11">
      <c r="A678" s="165"/>
      <c r="B678" s="1"/>
      <c r="C678" s="1"/>
      <c r="D678" s="1"/>
      <c r="E678" s="1"/>
      <c r="F678" s="1"/>
      <c r="G678" s="1"/>
      <c r="H678" s="1"/>
      <c r="I678" s="1"/>
      <c r="J678" s="1"/>
      <c r="K678" s="1"/>
    </row>
    <row r="679" spans="1:11">
      <c r="A679" s="165"/>
      <c r="B679" s="1" t="s">
        <v>1748</v>
      </c>
      <c r="C679" s="1"/>
      <c r="D679" s="1"/>
      <c r="E679" s="1"/>
      <c r="F679" s="1"/>
      <c r="G679" s="1"/>
      <c r="H679" s="1"/>
      <c r="I679" s="1"/>
      <c r="J679" s="1"/>
      <c r="K679" s="1"/>
    </row>
    <row r="680" spans="1:11">
      <c r="A680" s="165"/>
      <c r="B680" s="1" t="s">
        <v>1749</v>
      </c>
      <c r="C680" s="1"/>
      <c r="D680" s="1"/>
      <c r="E680" s="1"/>
      <c r="F680" s="1"/>
      <c r="G680" s="1"/>
      <c r="H680" s="1"/>
      <c r="I680" s="1"/>
      <c r="J680" s="1"/>
      <c r="K680" s="1"/>
    </row>
    <row r="681" spans="1:11">
      <c r="A681" s="165"/>
      <c r="B681" s="1"/>
      <c r="C681" s="1"/>
      <c r="D681" s="1"/>
      <c r="E681" s="1"/>
      <c r="F681" s="1"/>
      <c r="G681" s="1"/>
      <c r="H681" s="1"/>
      <c r="I681" s="1"/>
      <c r="J681" s="1"/>
      <c r="K681" s="1"/>
    </row>
    <row r="682" spans="1:11">
      <c r="A682" s="165"/>
      <c r="B682" s="1"/>
      <c r="C682" s="1"/>
      <c r="D682" s="1"/>
      <c r="E682" s="1"/>
      <c r="F682" s="1"/>
      <c r="G682" s="1"/>
      <c r="H682" s="1"/>
      <c r="I682" s="1"/>
      <c r="J682" s="1"/>
      <c r="K682" s="1"/>
    </row>
    <row r="683" spans="1:11">
      <c r="A683" s="165" t="s">
        <v>1750</v>
      </c>
      <c r="B683" s="681">
        <v>78</v>
      </c>
      <c r="C683" s="1" t="s">
        <v>212</v>
      </c>
      <c r="D683" s="1"/>
      <c r="E683" s="1"/>
      <c r="F683" s="4" t="s">
        <v>1751</v>
      </c>
      <c r="G683" s="5"/>
      <c r="H683" s="5"/>
      <c r="I683" s="5"/>
      <c r="J683" s="6"/>
      <c r="K683" s="1"/>
    </row>
    <row r="684" spans="1:11">
      <c r="A684" s="165" t="s">
        <v>1752</v>
      </c>
      <c r="B684" s="681">
        <v>52</v>
      </c>
      <c r="C684" s="1" t="s">
        <v>212</v>
      </c>
      <c r="D684" s="1"/>
      <c r="E684" s="1"/>
      <c r="F684" s="7" t="s">
        <v>1673</v>
      </c>
      <c r="G684" s="8"/>
      <c r="H684" s="8"/>
      <c r="I684" s="8"/>
      <c r="J684" s="9"/>
      <c r="K684" s="1"/>
    </row>
    <row r="685" spans="1:11">
      <c r="A685" s="165" t="s">
        <v>1753</v>
      </c>
      <c r="B685" s="681">
        <v>14</v>
      </c>
      <c r="C685" s="1" t="s">
        <v>853</v>
      </c>
      <c r="D685" s="1"/>
      <c r="E685" s="1"/>
      <c r="F685" s="7"/>
      <c r="G685" s="8"/>
      <c r="H685" s="8"/>
      <c r="I685" s="8"/>
      <c r="J685" s="9"/>
      <c r="K685" s="1"/>
    </row>
    <row r="686" spans="1:11">
      <c r="A686" s="165" t="s">
        <v>1451</v>
      </c>
      <c r="B686" s="681">
        <v>22</v>
      </c>
      <c r="C686" s="1"/>
      <c r="D686" s="1"/>
      <c r="E686" s="1"/>
      <c r="F686" s="7" t="s">
        <v>1717</v>
      </c>
      <c r="G686" s="8"/>
      <c r="H686" s="8"/>
      <c r="I686" s="8"/>
      <c r="J686" s="9"/>
      <c r="K686" s="1"/>
    </row>
    <row r="687" spans="1:11">
      <c r="A687" s="165"/>
      <c r="B687" s="1"/>
      <c r="C687" s="1"/>
      <c r="D687" s="1"/>
      <c r="E687" s="1"/>
      <c r="F687" s="7" t="s">
        <v>1754</v>
      </c>
      <c r="G687" s="8"/>
      <c r="H687" s="8"/>
      <c r="I687" s="8"/>
      <c r="J687" s="9"/>
      <c r="K687" s="1"/>
    </row>
    <row r="688" spans="1:11">
      <c r="A688" s="165" t="s">
        <v>1755</v>
      </c>
      <c r="B688" s="1">
        <f>SUM(B683:B684)</f>
        <v>130</v>
      </c>
      <c r="C688" s="1" t="s">
        <v>212</v>
      </c>
      <c r="D688" s="1"/>
      <c r="E688" s="1"/>
      <c r="F688" s="7" t="s">
        <v>1756</v>
      </c>
      <c r="G688" s="8"/>
      <c r="H688" s="8"/>
      <c r="I688" s="8"/>
      <c r="J688" s="9"/>
      <c r="K688" s="1"/>
    </row>
    <row r="689" spans="1:11">
      <c r="A689" s="165" t="s">
        <v>1757</v>
      </c>
      <c r="B689" s="57">
        <f>B688/B683</f>
        <v>1.6666666666666667</v>
      </c>
      <c r="C689" s="1"/>
      <c r="D689" s="1"/>
      <c r="E689" s="1"/>
      <c r="F689" s="7" t="s">
        <v>1758</v>
      </c>
      <c r="G689" s="8"/>
      <c r="H689" s="8"/>
      <c r="I689" s="8"/>
      <c r="J689" s="9"/>
      <c r="K689" s="1"/>
    </row>
    <row r="690" spans="1:11">
      <c r="A690" s="165" t="s">
        <v>1759</v>
      </c>
      <c r="B690" s="373">
        <f>(B688/B683)^2</f>
        <v>2.7777777777777781</v>
      </c>
      <c r="C690" s="1"/>
      <c r="D690" s="1"/>
      <c r="E690" s="1"/>
      <c r="F690" s="7" t="s">
        <v>1760</v>
      </c>
      <c r="G690" s="8"/>
      <c r="H690" s="8"/>
      <c r="I690" s="8"/>
      <c r="J690" s="9"/>
      <c r="K690" s="1"/>
    </row>
    <row r="691" spans="1:11">
      <c r="A691" s="165" t="s">
        <v>1761</v>
      </c>
      <c r="B691" s="292">
        <f>B685*B690</f>
        <v>38.888888888888893</v>
      </c>
      <c r="C691" s="1" t="s">
        <v>853</v>
      </c>
      <c r="D691" s="1"/>
      <c r="E691" s="1"/>
      <c r="F691" s="10"/>
      <c r="G691" s="11"/>
      <c r="H691" s="11"/>
      <c r="I691" s="11"/>
      <c r="J691" s="12"/>
      <c r="K691" s="1"/>
    </row>
    <row r="692" spans="1:11">
      <c r="A692" s="165" t="s">
        <v>1762</v>
      </c>
      <c r="B692" s="373">
        <f>LOG(B690)/LOG(2)</f>
        <v>1.4739311883324124</v>
      </c>
      <c r="C692" s="1"/>
      <c r="D692" s="1"/>
      <c r="E692" s="1"/>
      <c r="F692" s="1"/>
      <c r="G692" s="1"/>
      <c r="H692" s="26"/>
      <c r="I692" s="26"/>
      <c r="J692" s="26"/>
      <c r="K692" s="1"/>
    </row>
    <row r="693" spans="1:11">
      <c r="A693" s="165" t="s">
        <v>1763</v>
      </c>
      <c r="B693" s="292">
        <f>B686/(B688/B683)</f>
        <v>13.2</v>
      </c>
      <c r="C693" s="1"/>
      <c r="D693" s="1"/>
      <c r="E693" s="1"/>
      <c r="F693" s="1"/>
      <c r="G693" s="1"/>
      <c r="H693" s="26"/>
      <c r="I693" s="26"/>
      <c r="J693" s="26"/>
      <c r="K693" s="1"/>
    </row>
    <row r="694" spans="1:11">
      <c r="A694" s="165" t="s">
        <v>899</v>
      </c>
      <c r="B694" s="292">
        <f>B686/SQRT(B690)</f>
        <v>13.2</v>
      </c>
      <c r="C694" s="1"/>
      <c r="D694" s="1"/>
      <c r="E694" s="1"/>
      <c r="F694" s="1"/>
      <c r="G694" s="1"/>
      <c r="H694" s="26"/>
      <c r="I694" s="26"/>
      <c r="J694" s="26"/>
      <c r="K694" s="1"/>
    </row>
    <row r="695" spans="1:11">
      <c r="A695" s="165" t="s">
        <v>899</v>
      </c>
      <c r="B695" s="645">
        <f>B686/SQRT(2)^B692</f>
        <v>13.199999999999998</v>
      </c>
      <c r="C695" s="1"/>
      <c r="D695" s="1"/>
      <c r="E695" s="1"/>
      <c r="F695" s="1"/>
      <c r="G695" s="1"/>
      <c r="H695" s="26"/>
      <c r="I695" s="26"/>
      <c r="J695" s="26"/>
      <c r="K695" s="1"/>
    </row>
    <row r="696" spans="1:11">
      <c r="A696" s="165" t="s">
        <v>899</v>
      </c>
      <c r="B696" s="292">
        <f>B686/2^(B692/2)</f>
        <v>13.2</v>
      </c>
      <c r="C696" s="1"/>
      <c r="D696" s="1"/>
      <c r="E696" s="1"/>
      <c r="F696" s="1"/>
      <c r="G696" s="1"/>
      <c r="H696" s="26"/>
      <c r="I696" s="26"/>
      <c r="J696" s="26"/>
      <c r="K696" s="1"/>
    </row>
    <row r="697" spans="1:11">
      <c r="A697" s="682"/>
      <c r="B697" s="682"/>
      <c r="C697" s="11"/>
      <c r="D697" s="11"/>
      <c r="E697" s="11"/>
      <c r="F697" s="11"/>
      <c r="G697" s="11"/>
      <c r="H697" s="225"/>
      <c r="I697" s="225"/>
      <c r="J697" s="225"/>
      <c r="K697" s="11"/>
    </row>
    <row r="698" spans="1:11">
      <c r="A698" s="1"/>
      <c r="B698" s="1"/>
      <c r="C698" s="1"/>
      <c r="D698" s="1"/>
      <c r="E698" s="1"/>
      <c r="F698" s="1"/>
      <c r="G698" s="1"/>
      <c r="H698" s="1"/>
      <c r="I698" s="1"/>
      <c r="J698" s="1"/>
      <c r="K698" s="1"/>
    </row>
    <row r="699" spans="1:11">
      <c r="A699" s="1"/>
      <c r="B699" s="1"/>
      <c r="C699" s="1"/>
      <c r="D699" s="1"/>
      <c r="E699" s="1"/>
      <c r="F699" s="1"/>
      <c r="G699" s="1"/>
      <c r="H699" s="1"/>
      <c r="I699" s="1"/>
      <c r="J699" s="1"/>
      <c r="K699" s="1"/>
    </row>
    <row r="700" spans="1:11">
      <c r="A700" s="26" t="s">
        <v>1743</v>
      </c>
      <c r="B700" s="1" t="s">
        <v>1764</v>
      </c>
      <c r="C700" s="1"/>
      <c r="D700" s="1"/>
      <c r="E700" s="1"/>
      <c r="F700" s="1"/>
      <c r="G700" s="1"/>
      <c r="H700" s="1"/>
      <c r="I700" s="1"/>
      <c r="J700" s="1"/>
      <c r="K700" s="1"/>
    </row>
    <row r="701" spans="1:11">
      <c r="A701" s="1"/>
      <c r="B701" s="1" t="s">
        <v>1765</v>
      </c>
      <c r="C701" s="1"/>
      <c r="D701" s="1"/>
      <c r="E701" s="1"/>
      <c r="F701" s="1"/>
      <c r="G701" s="1"/>
      <c r="H701" s="1"/>
      <c r="I701" s="1"/>
      <c r="J701" s="1"/>
      <c r="K701" s="1"/>
    </row>
    <row r="702" spans="1:11">
      <c r="A702" s="1"/>
      <c r="B702" s="1" t="s">
        <v>1766</v>
      </c>
      <c r="C702" s="1"/>
      <c r="D702" s="1"/>
      <c r="E702" s="1"/>
      <c r="F702" s="1"/>
      <c r="G702" s="1"/>
      <c r="H702" s="1"/>
      <c r="I702" s="1"/>
      <c r="J702" s="1"/>
      <c r="K702" s="1"/>
    </row>
    <row r="703" spans="1:11">
      <c r="A703" s="1"/>
      <c r="B703" s="1" t="s">
        <v>1767</v>
      </c>
      <c r="C703" s="1"/>
      <c r="D703" s="1"/>
      <c r="E703" s="1"/>
      <c r="F703" s="1"/>
      <c r="G703" s="1"/>
      <c r="H703" s="1"/>
      <c r="I703" s="1"/>
      <c r="J703" s="1"/>
      <c r="K703" s="1"/>
    </row>
    <row r="704" spans="1:11">
      <c r="A704" s="1"/>
      <c r="B704" s="1"/>
      <c r="C704" s="1"/>
      <c r="D704" s="1"/>
      <c r="E704" s="1"/>
      <c r="F704" s="1"/>
      <c r="G704" s="1"/>
      <c r="H704" s="1"/>
      <c r="I704" s="1"/>
      <c r="J704" s="1"/>
      <c r="K704" s="1"/>
    </row>
    <row r="705" spans="1:11">
      <c r="A705" s="165" t="s">
        <v>1267</v>
      </c>
      <c r="B705" s="326">
        <v>3</v>
      </c>
      <c r="C705" s="1" t="s">
        <v>68</v>
      </c>
      <c r="D705" s="1"/>
      <c r="E705" s="1"/>
      <c r="F705" s="1"/>
      <c r="G705" s="1"/>
      <c r="H705" s="1"/>
      <c r="I705" s="1"/>
      <c r="J705" s="1"/>
      <c r="K705" s="1"/>
    </row>
    <row r="706" spans="1:11">
      <c r="A706" s="165" t="s">
        <v>1268</v>
      </c>
      <c r="B706" s="326">
        <v>7</v>
      </c>
      <c r="C706" s="1" t="s">
        <v>68</v>
      </c>
      <c r="D706" s="1"/>
      <c r="E706" s="1"/>
      <c r="F706" s="1"/>
      <c r="G706" s="1"/>
      <c r="H706" s="1"/>
      <c r="I706" s="1"/>
      <c r="J706" s="1"/>
      <c r="K706" s="1"/>
    </row>
    <row r="707" spans="1:11">
      <c r="A707" s="165" t="s">
        <v>1792</v>
      </c>
      <c r="B707" s="326">
        <v>16</v>
      </c>
      <c r="C707" s="1"/>
      <c r="D707" s="1"/>
      <c r="E707" s="1"/>
      <c r="F707" s="1"/>
      <c r="G707" s="1"/>
      <c r="H707" s="1"/>
      <c r="I707" s="1"/>
      <c r="J707" s="1"/>
      <c r="K707" s="1"/>
    </row>
    <row r="708" spans="1:11">
      <c r="A708" s="165" t="s">
        <v>1410</v>
      </c>
      <c r="B708" s="1">
        <f>B707*B705</f>
        <v>48</v>
      </c>
      <c r="C708" s="1"/>
      <c r="D708" s="1"/>
      <c r="E708" s="1"/>
      <c r="F708" s="1"/>
      <c r="G708" s="1"/>
      <c r="H708" s="1"/>
      <c r="I708" s="1"/>
      <c r="J708" s="1"/>
      <c r="K708" s="1"/>
    </row>
    <row r="709" spans="1:11">
      <c r="A709" s="546" t="s">
        <v>82</v>
      </c>
      <c r="B709" s="292">
        <f>B706/B705</f>
        <v>2.3333333333333335</v>
      </c>
      <c r="C709" s="1"/>
      <c r="D709" s="1"/>
      <c r="E709" s="1"/>
      <c r="F709" s="1"/>
      <c r="G709" s="1"/>
      <c r="H709" s="1"/>
      <c r="I709" s="1"/>
      <c r="J709" s="1"/>
      <c r="K709" s="1"/>
    </row>
    <row r="710" spans="1:11">
      <c r="A710" s="165" t="s">
        <v>1793</v>
      </c>
      <c r="B710" s="292">
        <f>B708/B706</f>
        <v>6.8571428571428568</v>
      </c>
      <c r="C710" s="1" t="s">
        <v>1794</v>
      </c>
      <c r="D710" s="1"/>
      <c r="E710" s="1"/>
      <c r="F710" s="1"/>
      <c r="G710" s="1"/>
      <c r="H710" s="1"/>
      <c r="I710" s="1"/>
      <c r="J710" s="1"/>
      <c r="K710" s="1"/>
    </row>
    <row r="711" spans="1:11">
      <c r="A711" s="165"/>
      <c r="B711" s="292">
        <f>B707/B709</f>
        <v>6.8571428571428568</v>
      </c>
      <c r="C711" s="1" t="s">
        <v>1795</v>
      </c>
      <c r="D711" s="1"/>
      <c r="E711" s="1"/>
      <c r="F711" s="1"/>
      <c r="G711" s="1"/>
      <c r="H711" s="1"/>
      <c r="I711" s="1"/>
      <c r="J711" s="1"/>
      <c r="K711" s="1"/>
    </row>
    <row r="712" spans="1:11">
      <c r="A712" s="165"/>
      <c r="B712" s="1"/>
      <c r="C712" s="1"/>
      <c r="D712" s="1"/>
      <c r="E712" s="1"/>
      <c r="F712" s="1"/>
      <c r="G712" s="1"/>
      <c r="H712" s="1"/>
      <c r="I712" s="1"/>
      <c r="J712" s="1"/>
      <c r="K712" s="1"/>
    </row>
    <row r="713" spans="1:11">
      <c r="A713" s="165"/>
      <c r="B713" s="1"/>
      <c r="C713" s="1"/>
      <c r="D713" s="1"/>
      <c r="E713" s="1"/>
      <c r="F713" s="1"/>
      <c r="G713" s="1"/>
      <c r="H713" s="1"/>
      <c r="I713" s="1"/>
      <c r="J713" s="1"/>
      <c r="K713" s="1"/>
    </row>
    <row r="714" spans="1:11">
      <c r="A714" s="165"/>
      <c r="B714" s="1"/>
      <c r="C714" s="1"/>
      <c r="D714" s="1"/>
      <c r="E714" s="1"/>
      <c r="F714" s="1"/>
      <c r="G714" s="1"/>
      <c r="H714" s="1"/>
      <c r="I714" s="1"/>
      <c r="J714" s="1"/>
      <c r="K714" s="1"/>
    </row>
    <row r="715" spans="1:11">
      <c r="A715" s="165"/>
      <c r="B715" s="1"/>
      <c r="C715" s="1"/>
      <c r="D715" s="1"/>
      <c r="E715" s="1"/>
      <c r="F715" s="1"/>
      <c r="G715" s="1"/>
      <c r="H715" s="1"/>
      <c r="I715" s="1"/>
      <c r="J715" s="1"/>
      <c r="K715" s="1"/>
    </row>
    <row r="716" spans="1:11">
      <c r="A716" s="1"/>
      <c r="B716" s="1"/>
      <c r="C716" s="1"/>
      <c r="D716" s="1"/>
      <c r="E716" s="1"/>
      <c r="F716" s="1"/>
      <c r="G716" s="1"/>
      <c r="H716" s="1"/>
      <c r="I716" s="1"/>
      <c r="J716" s="1"/>
      <c r="K716" s="1"/>
    </row>
    <row r="717" spans="1:11">
      <c r="A717" s="26" t="s">
        <v>1743</v>
      </c>
      <c r="B717" s="1" t="s">
        <v>1768</v>
      </c>
      <c r="C717" s="1"/>
      <c r="D717" s="1"/>
      <c r="E717" s="1"/>
      <c r="F717" s="1"/>
      <c r="G717" s="1"/>
      <c r="H717" s="1"/>
      <c r="I717" s="1"/>
      <c r="J717" s="1"/>
      <c r="K717" s="1"/>
    </row>
    <row r="718" spans="1:11">
      <c r="A718" s="1"/>
      <c r="B718" s="1" t="s">
        <v>1769</v>
      </c>
      <c r="C718" s="1"/>
      <c r="D718" s="1"/>
      <c r="E718" s="1"/>
      <c r="F718" s="1"/>
      <c r="G718" s="1"/>
      <c r="H718" s="1"/>
      <c r="I718" s="1"/>
      <c r="J718" s="1"/>
      <c r="K718" s="1"/>
    </row>
    <row r="719" spans="1:11">
      <c r="A719" s="1"/>
      <c r="B719" s="1"/>
      <c r="C719" s="1"/>
      <c r="D719" s="1"/>
      <c r="E719" s="1"/>
      <c r="F719" s="1"/>
      <c r="G719" s="1"/>
      <c r="H719" s="1"/>
      <c r="I719" s="1"/>
      <c r="J719" s="1"/>
      <c r="K719" s="1"/>
    </row>
    <row r="720" spans="1:11">
      <c r="A720" s="1"/>
      <c r="B720" s="1" t="s">
        <v>1770</v>
      </c>
      <c r="C720" s="1"/>
      <c r="D720" s="1"/>
      <c r="E720" s="1"/>
      <c r="F720" s="1"/>
      <c r="G720" s="1"/>
      <c r="H720" s="1"/>
      <c r="I720" s="1"/>
      <c r="J720" s="1"/>
      <c r="K720" s="1"/>
    </row>
    <row r="721" spans="1:11">
      <c r="A721" s="1"/>
      <c r="B721" s="1" t="s">
        <v>1771</v>
      </c>
      <c r="C721" s="1"/>
      <c r="D721" s="1"/>
      <c r="E721" s="1"/>
      <c r="F721" s="1"/>
      <c r="G721" s="1"/>
      <c r="H721" s="1"/>
      <c r="I721" s="1"/>
      <c r="J721" s="1"/>
      <c r="K721" s="1"/>
    </row>
    <row r="722" spans="1:11">
      <c r="A722" s="1"/>
      <c r="B722" s="1" t="s">
        <v>1772</v>
      </c>
      <c r="C722" s="1"/>
      <c r="D722" s="1"/>
      <c r="E722" s="1"/>
      <c r="F722" s="1"/>
      <c r="G722" s="1"/>
      <c r="H722" s="1"/>
      <c r="I722" s="1"/>
      <c r="J722" s="1"/>
      <c r="K722" s="1"/>
    </row>
    <row r="723" spans="1:11">
      <c r="A723" s="1"/>
      <c r="B723" s="1"/>
      <c r="C723" s="1"/>
      <c r="D723" s="1"/>
      <c r="E723" s="1"/>
      <c r="F723" s="1"/>
      <c r="G723" s="1"/>
      <c r="H723" s="1"/>
      <c r="I723" s="1"/>
      <c r="J723" s="1"/>
      <c r="K723" s="1"/>
    </row>
    <row r="724" spans="1:11">
      <c r="A724" s="1"/>
      <c r="B724" s="1"/>
      <c r="C724" s="1"/>
      <c r="D724" s="1"/>
      <c r="E724" s="1"/>
      <c r="F724" s="1"/>
      <c r="G724" s="1"/>
      <c r="H724" s="1"/>
      <c r="I724" s="1"/>
      <c r="J724" s="1"/>
      <c r="K724" s="1"/>
    </row>
    <row r="725" spans="1:11">
      <c r="A725" s="165" t="s">
        <v>1773</v>
      </c>
      <c r="B725" s="326">
        <v>80</v>
      </c>
      <c r="C725" s="1" t="s">
        <v>344</v>
      </c>
      <c r="D725" s="1"/>
      <c r="E725" s="1"/>
      <c r="F725" s="1"/>
      <c r="G725" s="1"/>
      <c r="H725" s="1"/>
      <c r="I725" s="1"/>
      <c r="J725" s="1"/>
      <c r="K725" s="1"/>
    </row>
    <row r="726" spans="1:11">
      <c r="A726" s="165" t="s">
        <v>1774</v>
      </c>
      <c r="B726" s="326">
        <v>200</v>
      </c>
      <c r="C726" s="1" t="s">
        <v>344</v>
      </c>
      <c r="D726" s="1"/>
      <c r="E726" s="1"/>
      <c r="F726" s="1"/>
      <c r="G726" s="1"/>
      <c r="H726" s="1"/>
      <c r="I726" s="1"/>
      <c r="J726" s="1"/>
      <c r="K726" s="1"/>
    </row>
    <row r="727" spans="1:11">
      <c r="A727" s="165" t="s">
        <v>1775</v>
      </c>
      <c r="B727" s="326">
        <v>11</v>
      </c>
      <c r="C727" s="1"/>
      <c r="D727" s="1"/>
      <c r="E727" s="1"/>
      <c r="F727" s="1"/>
      <c r="G727" s="1"/>
      <c r="H727" s="1"/>
      <c r="I727" s="1"/>
      <c r="J727" s="1"/>
      <c r="K727" s="1"/>
    </row>
    <row r="728" spans="1:11">
      <c r="A728" s="165" t="s">
        <v>1776</v>
      </c>
      <c r="B728" s="326">
        <f>1/30</f>
        <v>3.3333333333333333E-2</v>
      </c>
      <c r="C728" s="1" t="s">
        <v>1355</v>
      </c>
      <c r="D728" s="1"/>
      <c r="E728" s="1"/>
      <c r="F728" s="1"/>
      <c r="G728" s="1"/>
      <c r="H728" s="1"/>
      <c r="I728" s="1"/>
      <c r="J728" s="1"/>
      <c r="K728" s="1"/>
    </row>
    <row r="729" spans="1:11">
      <c r="A729" s="165"/>
      <c r="B729" s="1"/>
      <c r="C729" s="1"/>
      <c r="D729" s="1"/>
      <c r="E729" s="1"/>
      <c r="F729" s="1"/>
      <c r="G729" s="1"/>
      <c r="H729" s="1"/>
      <c r="I729" s="1"/>
      <c r="J729" s="1"/>
      <c r="K729" s="1"/>
    </row>
    <row r="730" spans="1:11">
      <c r="A730" s="165" t="s">
        <v>1777</v>
      </c>
      <c r="B730" s="373">
        <f>(B726/B725)^2</f>
        <v>6.25</v>
      </c>
      <c r="C730" s="1"/>
      <c r="D730" s="1" t="s">
        <v>1778</v>
      </c>
      <c r="E730" s="1"/>
      <c r="F730" s="1"/>
      <c r="G730" s="1"/>
      <c r="H730" s="1"/>
      <c r="I730" s="1"/>
      <c r="J730" s="1"/>
      <c r="K730" s="1"/>
    </row>
    <row r="731" spans="1:11">
      <c r="A731" s="165" t="s">
        <v>1642</v>
      </c>
      <c r="B731" s="1">
        <f>LOG10(B730)/LOG10(2)</f>
        <v>2.6438561897747248</v>
      </c>
      <c r="C731" s="1"/>
      <c r="D731" s="1" t="s">
        <v>1779</v>
      </c>
      <c r="E731" s="1"/>
      <c r="F731" s="1"/>
      <c r="G731" s="1"/>
      <c r="H731" s="1"/>
      <c r="I731" s="1"/>
      <c r="J731" s="1"/>
      <c r="K731" s="1"/>
    </row>
    <row r="732" spans="1:11">
      <c r="A732" s="165" t="s">
        <v>1780</v>
      </c>
      <c r="B732" s="1">
        <f>SQRT(B730)</f>
        <v>2.5</v>
      </c>
      <c r="C732" s="1"/>
      <c r="D732" s="1" t="s">
        <v>1781</v>
      </c>
      <c r="E732" s="1"/>
      <c r="F732" s="1"/>
      <c r="G732" s="1"/>
      <c r="H732" s="1"/>
      <c r="I732" s="1"/>
      <c r="J732" s="1"/>
      <c r="K732" s="1"/>
    </row>
    <row r="733" spans="1:11">
      <c r="A733" s="1"/>
      <c r="B733" s="1"/>
      <c r="C733" s="1"/>
      <c r="D733" s="1"/>
      <c r="E733" s="1"/>
      <c r="F733" s="1"/>
      <c r="G733" s="1"/>
      <c r="H733" s="1"/>
      <c r="I733" s="1"/>
      <c r="J733" s="1"/>
      <c r="K733" s="1"/>
    </row>
    <row r="734" spans="1:11">
      <c r="A734" s="165" t="s">
        <v>1362</v>
      </c>
      <c r="B734" s="1">
        <f>B727/B732</f>
        <v>4.4000000000000004</v>
      </c>
      <c r="C734" s="1"/>
      <c r="D734" s="1"/>
      <c r="E734" s="1"/>
      <c r="F734" s="1"/>
      <c r="G734" s="1"/>
      <c r="H734" s="1"/>
      <c r="I734" s="1"/>
      <c r="J734" s="1"/>
      <c r="K734" s="1"/>
    </row>
    <row r="735" spans="1:11">
      <c r="A735" s="165" t="s">
        <v>1782</v>
      </c>
      <c r="B735" s="284">
        <f>B728*B730</f>
        <v>0.20833333333333334</v>
      </c>
      <c r="C735" s="1" t="s">
        <v>853</v>
      </c>
      <c r="D735" s="1"/>
      <c r="E735" s="1"/>
      <c r="F735" s="1"/>
      <c r="G735" s="1"/>
      <c r="H735" s="1"/>
      <c r="I735" s="1"/>
      <c r="J735" s="1"/>
      <c r="K735" s="1"/>
    </row>
    <row r="736" spans="1:11">
      <c r="A736" s="1"/>
      <c r="B736" s="687">
        <f>B735</f>
        <v>0.20833333333333334</v>
      </c>
      <c r="C736" s="1" t="s">
        <v>853</v>
      </c>
      <c r="D736" s="1"/>
      <c r="E736" s="1"/>
      <c r="F736" s="1"/>
      <c r="G736" s="1"/>
      <c r="H736" s="1"/>
      <c r="I736" s="1"/>
      <c r="J736" s="1"/>
      <c r="K736" s="1"/>
    </row>
    <row r="737" spans="1:11">
      <c r="A737" s="1"/>
      <c r="B737" s="1"/>
      <c r="C737" s="1"/>
      <c r="D737" s="1"/>
      <c r="E737" s="1"/>
      <c r="F737" s="1"/>
      <c r="G737" s="1"/>
      <c r="H737" s="1"/>
      <c r="I737" s="1"/>
      <c r="J737" s="1"/>
      <c r="K737" s="1"/>
    </row>
    <row r="738" spans="1:11">
      <c r="A738" s="1"/>
      <c r="B738" s="1"/>
      <c r="C738" s="1"/>
      <c r="D738" s="1"/>
      <c r="E738" s="1"/>
      <c r="F738" s="1"/>
      <c r="G738" s="1"/>
      <c r="H738" s="1"/>
      <c r="I738" s="1"/>
      <c r="J738" s="1"/>
      <c r="K738" s="1"/>
    </row>
    <row r="739" spans="1:11">
      <c r="A739" s="1"/>
      <c r="B739" s="243" t="s">
        <v>1783</v>
      </c>
      <c r="C739" s="1"/>
      <c r="D739" s="1"/>
      <c r="E739" s="1"/>
      <c r="F739" s="1"/>
      <c r="G739" s="1"/>
      <c r="H739" s="1"/>
      <c r="I739" s="1"/>
      <c r="J739" s="1"/>
      <c r="K739" s="1"/>
    </row>
    <row r="740" spans="1:11">
      <c r="A740" s="1"/>
      <c r="B740" s="1"/>
      <c r="C740" s="165"/>
      <c r="D740" s="165"/>
      <c r="E740" s="165"/>
      <c r="F740" s="1"/>
      <c r="G740" s="1"/>
      <c r="H740" s="1"/>
      <c r="I740" s="1"/>
      <c r="J740" s="1"/>
      <c r="K740" s="1"/>
    </row>
    <row r="741" spans="1:11">
      <c r="A741" s="1"/>
      <c r="B741" s="165" t="s">
        <v>1702</v>
      </c>
      <c r="C741" s="376">
        <v>2</v>
      </c>
      <c r="D741" s="683">
        <v>4</v>
      </c>
      <c r="E741" s="373">
        <f>B730</f>
        <v>6.25</v>
      </c>
      <c r="F741" s="1"/>
      <c r="G741" s="1" t="s">
        <v>1784</v>
      </c>
      <c r="H741" s="376"/>
      <c r="I741" s="1"/>
      <c r="J741" s="1"/>
      <c r="K741" s="1"/>
    </row>
    <row r="742" spans="1:11">
      <c r="A742" s="165"/>
      <c r="B742" s="1"/>
      <c r="C742" s="1"/>
      <c r="D742" s="1"/>
      <c r="E742" s="1"/>
      <c r="F742" s="1"/>
      <c r="G742" s="1" t="s">
        <v>1785</v>
      </c>
      <c r="H742" s="1"/>
      <c r="I742" s="1"/>
      <c r="J742" s="1"/>
      <c r="K742" s="1"/>
    </row>
    <row r="743" spans="1:11">
      <c r="A743" s="165" t="s">
        <v>1786</v>
      </c>
      <c r="B743" s="1"/>
      <c r="C743" s="373">
        <f>LOG10(C741)/LOG10(2)</f>
        <v>1</v>
      </c>
      <c r="D743" s="373">
        <f>LOG10(D741)/LOG10(2)</f>
        <v>2</v>
      </c>
      <c r="E743" s="373">
        <f>LOG10(E741)/LOG10(2)</f>
        <v>2.6438561897747248</v>
      </c>
      <c r="F743" s="1"/>
      <c r="G743" s="1" t="s">
        <v>1787</v>
      </c>
      <c r="H743" s="1"/>
      <c r="I743" s="1"/>
      <c r="J743" s="1"/>
      <c r="K743" s="1"/>
    </row>
    <row r="744" spans="1:11">
      <c r="A744" s="165"/>
      <c r="B744" s="1"/>
      <c r="C744" s="373"/>
      <c r="D744" s="373"/>
      <c r="E744" s="373"/>
      <c r="F744" s="1"/>
      <c r="G744" s="1"/>
      <c r="H744" s="1"/>
      <c r="I744" s="1"/>
      <c r="J744" s="1"/>
      <c r="K744" s="1"/>
    </row>
    <row r="745" spans="1:11">
      <c r="A745" s="1"/>
      <c r="B745" s="165" t="s">
        <v>1780</v>
      </c>
      <c r="C745" s="292">
        <f>SQRT(C741)</f>
        <v>1.4142135623730951</v>
      </c>
      <c r="D745" s="292">
        <f>SQRT(D741)</f>
        <v>2</v>
      </c>
      <c r="E745" s="292">
        <f>SQRT(E741)</f>
        <v>2.5</v>
      </c>
      <c r="F745" s="1"/>
      <c r="G745" s="292" t="s">
        <v>1788</v>
      </c>
      <c r="H745" s="1"/>
      <c r="I745" s="1"/>
      <c r="J745" s="1"/>
      <c r="K745" s="1"/>
    </row>
    <row r="746" spans="1:11">
      <c r="A746" s="165"/>
      <c r="B746" s="1"/>
      <c r="C746" s="1"/>
      <c r="D746" s="1"/>
      <c r="E746" s="1"/>
      <c r="F746" s="1"/>
      <c r="G746" s="1"/>
      <c r="H746" s="1"/>
      <c r="I746" s="376"/>
      <c r="J746" s="1"/>
      <c r="K746" s="1"/>
    </row>
    <row r="747" spans="1:11">
      <c r="A747" s="165"/>
      <c r="B747" s="1"/>
      <c r="C747" s="1"/>
      <c r="D747" s="1"/>
      <c r="E747" s="292"/>
      <c r="F747" s="1"/>
      <c r="G747" s="1"/>
      <c r="H747" s="1"/>
      <c r="I747" s="1"/>
      <c r="J747" s="1"/>
      <c r="K747" s="1"/>
    </row>
    <row r="748" spans="1:11">
      <c r="A748" s="165" t="s">
        <v>1789</v>
      </c>
      <c r="B748" s="684">
        <f>B727</f>
        <v>11</v>
      </c>
      <c r="C748" s="645">
        <f>$B$748/SQRT(C741)</f>
        <v>7.7781745930520225</v>
      </c>
      <c r="D748" s="165">
        <f>$B$748/SQRT(D741)</f>
        <v>5.5</v>
      </c>
      <c r="E748" s="645">
        <f>$B$748/SQRT(E741)</f>
        <v>4.4000000000000004</v>
      </c>
      <c r="F748" s="1"/>
      <c r="G748" s="292" t="s">
        <v>1790</v>
      </c>
      <c r="H748" s="1"/>
      <c r="I748" s="1"/>
      <c r="J748" s="1"/>
      <c r="K748" s="1"/>
    </row>
    <row r="749" spans="1:11">
      <c r="A749" s="165"/>
      <c r="B749" s="1"/>
      <c r="C749" s="1"/>
      <c r="D749" s="1"/>
      <c r="E749" s="292"/>
      <c r="F749" s="1"/>
      <c r="G749" s="1"/>
      <c r="H749" s="1"/>
      <c r="I749" s="1"/>
      <c r="J749" s="1"/>
      <c r="K749" s="1"/>
    </row>
    <row r="750" spans="1:11">
      <c r="A750" s="1"/>
      <c r="B750" s="1"/>
      <c r="C750" s="165" t="s">
        <v>1791</v>
      </c>
      <c r="D750" s="1">
        <v>5.6</v>
      </c>
      <c r="E750" s="1"/>
      <c r="F750" s="1"/>
      <c r="G750" s="683"/>
      <c r="H750" s="376"/>
      <c r="I750" s="1"/>
      <c r="J750" s="1"/>
      <c r="K750" s="1"/>
    </row>
    <row r="751" spans="1:11">
      <c r="A751" s="24"/>
      <c r="B751" s="24"/>
      <c r="C751" s="512"/>
      <c r="D751" s="512"/>
      <c r="E751" s="24"/>
      <c r="F751" s="24"/>
      <c r="G751" s="24"/>
      <c r="H751" s="24"/>
      <c r="I751" s="685"/>
      <c r="J751" s="685"/>
      <c r="K751" s="24"/>
    </row>
    <row r="752" spans="1:11">
      <c r="A752" s="24"/>
      <c r="B752" s="686"/>
      <c r="C752" s="685"/>
      <c r="D752" s="685"/>
      <c r="E752" s="685"/>
      <c r="F752" s="685"/>
      <c r="G752" s="685"/>
      <c r="H752" s="24"/>
      <c r="I752" s="685"/>
      <c r="J752" s="685"/>
      <c r="K752" s="24"/>
    </row>
    <row r="753" spans="1:11">
      <c r="A753" s="1"/>
      <c r="B753" s="1"/>
      <c r="C753" s="1"/>
      <c r="D753" s="1"/>
      <c r="E753" s="1"/>
      <c r="F753" s="1"/>
      <c r="G753" s="1"/>
      <c r="H753" s="1"/>
      <c r="I753" s="1"/>
      <c r="J753" s="1"/>
      <c r="K753" s="1"/>
    </row>
  </sheetData>
  <pageMargins left="0.78740157499999996" right="0.78740157499999996" top="0.984251969" bottom="0.984251969" header="0.4921259845" footer="0.4921259845"/>
  <pageSetup paperSize="9"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3:O226"/>
  <sheetViews>
    <sheetView zoomScale="90" zoomScaleNormal="90" workbookViewId="0">
      <selection activeCell="R56" sqref="R56"/>
    </sheetView>
  </sheetViews>
  <sheetFormatPr baseColWidth="10" defaultColWidth="11.42578125" defaultRowHeight="12.75"/>
  <cols>
    <col min="1" max="1" width="40.5703125" style="1" customWidth="1"/>
    <col min="2" max="2" width="19.140625" style="1" customWidth="1"/>
    <col min="3" max="3" width="14" style="1" customWidth="1"/>
    <col min="4" max="4" width="14.85546875" style="1" customWidth="1"/>
    <col min="5" max="9" width="12.5703125" style="1" customWidth="1"/>
    <col min="10" max="10" width="12.5703125" style="1" bestFit="1" customWidth="1"/>
    <col min="11" max="11" width="12.5703125" style="1" customWidth="1"/>
    <col min="12" max="12" width="12.5703125" style="1" bestFit="1" customWidth="1"/>
    <col min="13" max="16384" width="11.42578125" style="1"/>
  </cols>
  <sheetData>
    <row r="3" spans="1:7">
      <c r="A3" s="2" t="s">
        <v>1585</v>
      </c>
    </row>
    <row r="5" spans="1:7">
      <c r="A5" s="2" t="s">
        <v>1584</v>
      </c>
    </row>
    <row r="7" spans="1:7">
      <c r="A7" s="2" t="s">
        <v>1587</v>
      </c>
    </row>
    <row r="8" spans="1:7">
      <c r="A8" s="513" t="s">
        <v>1603</v>
      </c>
    </row>
    <row r="10" spans="1:7">
      <c r="A10" s="1" t="s">
        <v>1568</v>
      </c>
    </row>
    <row r="11" spans="1:7">
      <c r="A11" s="1" t="s">
        <v>1569</v>
      </c>
    </row>
    <row r="13" spans="1:7">
      <c r="A13" s="1" t="s">
        <v>1570</v>
      </c>
    </row>
    <row r="14" spans="1:7">
      <c r="A14" s="1" t="s">
        <v>1571</v>
      </c>
    </row>
    <row r="16" spans="1:7">
      <c r="A16" s="1" t="s">
        <v>1572</v>
      </c>
      <c r="C16" s="443">
        <v>4000</v>
      </c>
      <c r="D16" s="443">
        <v>8000</v>
      </c>
      <c r="E16" s="443">
        <v>16000</v>
      </c>
      <c r="F16" s="443">
        <v>32000</v>
      </c>
      <c r="G16" s="443">
        <v>64000</v>
      </c>
    </row>
    <row r="17" spans="1:15">
      <c r="C17" s="26"/>
      <c r="D17" s="26"/>
      <c r="E17" s="26"/>
      <c r="F17" s="26"/>
      <c r="G17" s="26"/>
    </row>
    <row r="18" spans="1:15">
      <c r="A18" s="1" t="s">
        <v>1573</v>
      </c>
      <c r="C18" s="26"/>
      <c r="D18" s="26"/>
      <c r="E18" s="26"/>
      <c r="F18" s="26"/>
      <c r="G18" s="26"/>
      <c r="K18" s="24"/>
      <c r="L18" s="24"/>
      <c r="M18" s="24"/>
      <c r="N18" s="24"/>
      <c r="O18" s="24"/>
    </row>
    <row r="19" spans="1:15">
      <c r="A19" s="1" t="s">
        <v>1574</v>
      </c>
      <c r="C19" s="26"/>
      <c r="D19" s="26"/>
      <c r="E19" s="26"/>
      <c r="F19" s="26"/>
      <c r="G19" s="26"/>
      <c r="K19" s="24"/>
      <c r="L19" s="24"/>
      <c r="M19" s="24"/>
      <c r="N19" s="24"/>
      <c r="O19" s="24"/>
    </row>
    <row r="20" spans="1:15">
      <c r="A20" s="1" t="s">
        <v>1575</v>
      </c>
      <c r="C20" s="632">
        <f>SQRT(C16/PI())</f>
        <v>35.682482323055424</v>
      </c>
      <c r="D20" s="632">
        <f>SQRT(D16/PI())</f>
        <v>50.462650440403202</v>
      </c>
      <c r="E20" s="632">
        <f>SQRT(E16/PI())</f>
        <v>71.364964646110849</v>
      </c>
      <c r="F20" s="632">
        <f>SQRT(F16/PI())</f>
        <v>100.9253008808064</v>
      </c>
      <c r="G20" s="632">
        <f>SQRT(G16/PI())</f>
        <v>142.7299292922217</v>
      </c>
      <c r="K20" s="24"/>
      <c r="L20" s="24"/>
      <c r="M20" s="24"/>
      <c r="N20" s="24"/>
      <c r="O20" s="24"/>
    </row>
    <row r="21" spans="1:15">
      <c r="C21" s="26"/>
      <c r="D21" s="26"/>
      <c r="E21" s="26"/>
      <c r="F21" s="26"/>
      <c r="G21" s="26"/>
      <c r="K21" s="24"/>
      <c r="L21" s="24"/>
      <c r="M21" s="24"/>
      <c r="N21" s="24"/>
      <c r="O21" s="24"/>
    </row>
    <row r="22" spans="1:15">
      <c r="A22" s="1" t="s">
        <v>1510</v>
      </c>
      <c r="C22" s="632">
        <f>2*C20</f>
        <v>71.364964646110849</v>
      </c>
      <c r="D22" s="632">
        <f>2*D20</f>
        <v>100.9253008808064</v>
      </c>
      <c r="E22" s="632">
        <f>2*E20</f>
        <v>142.7299292922217</v>
      </c>
      <c r="F22" s="632">
        <f>2*F20</f>
        <v>201.85060176161281</v>
      </c>
      <c r="G22" s="632">
        <f>2*G20</f>
        <v>285.4598585844434</v>
      </c>
      <c r="K22" s="24"/>
      <c r="L22" s="24"/>
      <c r="M22" s="24"/>
      <c r="N22" s="24"/>
      <c r="O22" s="24"/>
    </row>
    <row r="23" spans="1:15">
      <c r="C23" s="26"/>
      <c r="D23" s="26"/>
      <c r="E23" s="26"/>
      <c r="F23" s="26"/>
      <c r="G23" s="26"/>
      <c r="K23" s="24"/>
      <c r="L23" s="24"/>
      <c r="M23" s="24"/>
      <c r="N23" s="24"/>
      <c r="O23" s="24"/>
    </row>
    <row r="24" spans="1:15">
      <c r="A24" s="1" t="s">
        <v>156</v>
      </c>
      <c r="C24" s="635">
        <f>D22/C22</f>
        <v>1.4142135623730949</v>
      </c>
      <c r="D24" s="635">
        <f>E22/D22</f>
        <v>1.4142135623730951</v>
      </c>
      <c r="E24" s="635">
        <f>F22/E22</f>
        <v>1.4142135623730949</v>
      </c>
      <c r="F24" s="635">
        <f>G22/F22</f>
        <v>1.4142135623730951</v>
      </c>
      <c r="G24" s="26"/>
      <c r="H24" s="1" t="s">
        <v>1576</v>
      </c>
      <c r="K24" s="24"/>
      <c r="L24" s="24"/>
      <c r="M24" s="24"/>
      <c r="N24" s="24"/>
      <c r="O24" s="24"/>
    </row>
    <row r="25" spans="1:15">
      <c r="C25" s="26"/>
      <c r="D25" s="26"/>
      <c r="E25" s="26"/>
      <c r="F25" s="26"/>
      <c r="G25" s="26"/>
      <c r="K25" s="24"/>
      <c r="L25" s="24"/>
      <c r="M25" s="24"/>
      <c r="N25" s="24"/>
      <c r="O25" s="24"/>
    </row>
    <row r="26" spans="1:15">
      <c r="A26" s="1" t="s">
        <v>1577</v>
      </c>
      <c r="C26" s="26"/>
      <c r="D26" s="26"/>
      <c r="E26" s="26"/>
      <c r="F26" s="26"/>
      <c r="G26" s="26"/>
      <c r="K26" s="24"/>
      <c r="L26" s="24"/>
      <c r="M26" s="24"/>
      <c r="N26" s="24"/>
      <c r="O26" s="24"/>
    </row>
    <row r="27" spans="1:15">
      <c r="A27" s="1" t="s">
        <v>1578</v>
      </c>
      <c r="C27" s="26"/>
      <c r="D27" s="26"/>
      <c r="E27" s="26"/>
      <c r="F27" s="26"/>
      <c r="G27" s="26"/>
      <c r="K27" s="24"/>
      <c r="L27" s="24"/>
      <c r="M27" s="24"/>
      <c r="N27" s="24"/>
      <c r="O27" s="24"/>
    </row>
    <row r="28" spans="1:15">
      <c r="C28" s="26"/>
      <c r="D28" s="26"/>
      <c r="E28" s="26"/>
      <c r="F28" s="26"/>
      <c r="G28" s="26"/>
      <c r="K28" s="24"/>
      <c r="L28" s="24"/>
      <c r="M28" s="24"/>
      <c r="N28" s="24"/>
      <c r="O28" s="24"/>
    </row>
    <row r="29" spans="1:15">
      <c r="A29" s="1" t="s">
        <v>1579</v>
      </c>
      <c r="C29" s="26"/>
      <c r="D29" s="26"/>
      <c r="E29" s="26"/>
      <c r="F29" s="26"/>
      <c r="G29" s="26"/>
      <c r="K29" s="24"/>
      <c r="L29" s="24"/>
      <c r="M29" s="24"/>
      <c r="N29" s="24"/>
      <c r="O29" s="24"/>
    </row>
    <row r="30" spans="1:15">
      <c r="A30" s="1" t="s">
        <v>1578</v>
      </c>
      <c r="K30" s="24"/>
      <c r="L30" s="24"/>
      <c r="M30" s="24"/>
      <c r="N30" s="24"/>
      <c r="O30" s="24"/>
    </row>
    <row r="31" spans="1:15">
      <c r="K31" s="24"/>
      <c r="L31" s="24"/>
      <c r="M31" s="24"/>
      <c r="N31" s="24"/>
      <c r="O31" s="24"/>
    </row>
    <row r="32" spans="1:15">
      <c r="J32" s="26" t="s">
        <v>156</v>
      </c>
      <c r="K32" s="24"/>
      <c r="L32" s="24"/>
      <c r="M32" s="24"/>
      <c r="N32" s="24"/>
      <c r="O32" s="24"/>
    </row>
    <row r="33" spans="1:15">
      <c r="A33" s="1" t="s">
        <v>1580</v>
      </c>
      <c r="D33" s="465">
        <v>100</v>
      </c>
      <c r="E33" s="364">
        <f>D33/$J$33</f>
        <v>100</v>
      </c>
      <c r="F33" s="364">
        <f>E33/$J$33</f>
        <v>100</v>
      </c>
      <c r="G33" s="364">
        <f>F33/$J$33</f>
        <v>100</v>
      </c>
      <c r="H33" s="364">
        <f>G33/$J$33</f>
        <v>100</v>
      </c>
      <c r="J33" s="636">
        <v>1</v>
      </c>
      <c r="K33" s="24"/>
      <c r="L33" s="24"/>
      <c r="M33" s="24"/>
      <c r="N33" s="24"/>
      <c r="O33" s="24"/>
    </row>
    <row r="34" spans="1:15">
      <c r="A34" s="1" t="s">
        <v>1581</v>
      </c>
      <c r="D34" s="465">
        <v>100</v>
      </c>
      <c r="E34" s="364">
        <f>D34/$J$34</f>
        <v>141.42135623730951</v>
      </c>
      <c r="F34" s="364">
        <f>E34/$J$34</f>
        <v>200.00000000000003</v>
      </c>
      <c r="G34" s="364">
        <f>F34/$J$34</f>
        <v>282.84271247461908</v>
      </c>
      <c r="H34" s="364">
        <f>G34/$J$34</f>
        <v>400.00000000000011</v>
      </c>
      <c r="J34" s="636">
        <f>1/SQRT(2)</f>
        <v>0.70710678118654746</v>
      </c>
      <c r="K34" s="24"/>
      <c r="L34" s="24"/>
      <c r="M34" s="24"/>
      <c r="N34" s="24"/>
      <c r="O34" s="24"/>
    </row>
    <row r="35" spans="1:15">
      <c r="K35" s="24"/>
      <c r="L35" s="24"/>
      <c r="M35" s="24"/>
      <c r="N35" s="24"/>
      <c r="O35" s="24"/>
    </row>
    <row r="36" spans="1:15">
      <c r="A36" s="1" t="s">
        <v>1586</v>
      </c>
      <c r="D36" s="292">
        <f>D33/D34</f>
        <v>1</v>
      </c>
      <c r="E36" s="292">
        <f>E33/E34</f>
        <v>0.70710678118654746</v>
      </c>
      <c r="F36" s="292">
        <f>F33/F34</f>
        <v>0.49999999999999994</v>
      </c>
      <c r="G36" s="292">
        <f>G33/G34</f>
        <v>0.35355339059327368</v>
      </c>
      <c r="H36" s="292">
        <f>H33/H34</f>
        <v>0.24999999999999992</v>
      </c>
      <c r="K36" s="24"/>
      <c r="L36" s="24"/>
      <c r="M36" s="24"/>
      <c r="N36" s="24"/>
      <c r="O36" s="24"/>
    </row>
    <row r="37" spans="1:15">
      <c r="D37" s="637" t="str">
        <f>"1 : " &amp; ROUND(1/D36,1)</f>
        <v>1 : 1</v>
      </c>
      <c r="E37" s="637" t="str">
        <f>"1 : " &amp; ROUND(1/E36,1)</f>
        <v>1 : 1,4</v>
      </c>
      <c r="F37" s="637" t="str">
        <f>"1 : " &amp; ROUND(1/F36,1)</f>
        <v>1 : 2</v>
      </c>
      <c r="G37" s="637" t="str">
        <f>"1 : " &amp; ROUND(1/G36,1)</f>
        <v>1 : 2,8</v>
      </c>
      <c r="H37" s="637" t="str">
        <f>"1 : " &amp; ROUND(1/H36,1)</f>
        <v>1 : 4</v>
      </c>
      <c r="K37" s="24"/>
      <c r="L37" s="24"/>
      <c r="M37" s="24"/>
      <c r="N37" s="24"/>
      <c r="O37" s="24"/>
    </row>
    <row r="38" spans="1:15">
      <c r="K38" s="24"/>
      <c r="L38" s="24"/>
      <c r="M38" s="24"/>
      <c r="N38" s="24"/>
      <c r="O38" s="24"/>
    </row>
    <row r="39" spans="1:15">
      <c r="A39" s="1" t="s">
        <v>1582</v>
      </c>
      <c r="D39" s="364">
        <f>1/D36</f>
        <v>1</v>
      </c>
      <c r="E39" s="364">
        <f>1/E36</f>
        <v>1.4142135623730951</v>
      </c>
      <c r="F39" s="364">
        <f>1/F36</f>
        <v>2</v>
      </c>
      <c r="G39" s="364">
        <f>1/G36</f>
        <v>2.8284271247461907</v>
      </c>
      <c r="H39" s="364">
        <f>1/H36</f>
        <v>4.0000000000000018</v>
      </c>
      <c r="K39" s="24"/>
      <c r="L39" s="24"/>
      <c r="M39" s="24"/>
      <c r="N39" s="24"/>
      <c r="O39" s="24"/>
    </row>
    <row r="40" spans="1:15">
      <c r="K40" s="24"/>
      <c r="L40" s="24"/>
      <c r="M40" s="24"/>
      <c r="N40" s="24"/>
      <c r="O40" s="24"/>
    </row>
    <row r="41" spans="1:15">
      <c r="K41" s="24"/>
      <c r="L41" s="24"/>
      <c r="M41" s="24"/>
      <c r="N41" s="24"/>
      <c r="O41" s="24"/>
    </row>
    <row r="42" spans="1:15">
      <c r="K42" s="24"/>
      <c r="L42" s="24"/>
      <c r="M42" s="24"/>
      <c r="N42" s="24"/>
      <c r="O42" s="24"/>
    </row>
    <row r="43" spans="1:15">
      <c r="A43" s="24"/>
      <c r="B43" s="24"/>
      <c r="C43" s="24"/>
      <c r="D43" s="24"/>
      <c r="E43" s="24"/>
      <c r="F43" s="24"/>
      <c r="G43" s="24"/>
      <c r="H43" s="24"/>
      <c r="I43" s="24"/>
      <c r="J43" s="24"/>
      <c r="K43" s="24"/>
      <c r="L43" s="24"/>
      <c r="M43" s="24"/>
      <c r="N43" s="24"/>
    </row>
    <row r="44" spans="1:15">
      <c r="A44" s="24"/>
      <c r="B44" s="24"/>
      <c r="C44" s="24"/>
      <c r="D44" s="24"/>
      <c r="E44" s="24"/>
      <c r="F44" s="24"/>
      <c r="G44" s="24"/>
      <c r="H44" s="24"/>
      <c r="I44" s="24"/>
      <c r="J44" s="24"/>
      <c r="K44" s="24"/>
      <c r="L44" s="24"/>
      <c r="M44" s="24"/>
      <c r="N44" s="24"/>
    </row>
    <row r="45" spans="1:15">
      <c r="A45" s="24" t="s">
        <v>1583</v>
      </c>
      <c r="B45" s="24"/>
      <c r="C45" s="24"/>
      <c r="D45" s="24"/>
      <c r="E45" s="24"/>
      <c r="F45" s="24"/>
      <c r="G45" s="24"/>
      <c r="H45" s="24"/>
      <c r="I45" s="24"/>
      <c r="J45" s="24"/>
      <c r="K45" s="24"/>
      <c r="L45" s="24"/>
      <c r="M45" s="24"/>
      <c r="N45" s="24"/>
    </row>
    <row r="47" spans="1:15">
      <c r="A47" s="165" t="s">
        <v>1409</v>
      </c>
      <c r="B47" s="638">
        <v>5.6</v>
      </c>
    </row>
    <row r="48" spans="1:15">
      <c r="A48" s="165" t="s">
        <v>1588</v>
      </c>
      <c r="B48" s="638">
        <v>240</v>
      </c>
      <c r="C48" s="1" t="s">
        <v>344</v>
      </c>
    </row>
    <row r="49" spans="1:10">
      <c r="A49" s="165"/>
    </row>
    <row r="50" spans="1:10">
      <c r="A50" s="165" t="s">
        <v>1589</v>
      </c>
      <c r="B50" s="640">
        <f>1/B47</f>
        <v>0.17857142857142858</v>
      </c>
      <c r="C50" s="1" t="str">
        <f>"entspricht 1/"&amp;ROUND(1/B50,1)</f>
        <v>entspricht 1/5,6</v>
      </c>
    </row>
    <row r="51" spans="1:10">
      <c r="A51" s="165" t="s">
        <v>1580</v>
      </c>
      <c r="B51" s="419">
        <f>B48*B50</f>
        <v>42.857142857142861</v>
      </c>
      <c r="C51" s="1" t="s">
        <v>344</v>
      </c>
    </row>
    <row r="52" spans="1:10">
      <c r="A52" s="165"/>
    </row>
    <row r="53" spans="1:10">
      <c r="A53" s="287" t="str">
        <f>"Der Blendendurchmesser muss "&amp;ROUND(B51,2)&amp;" mm groß sein."</f>
        <v>Der Blendendurchmesser muss 42,86 mm groß sein.</v>
      </c>
    </row>
    <row r="54" spans="1:10">
      <c r="A54" s="165"/>
    </row>
    <row r="56" spans="1:10">
      <c r="C56" s="1" t="s">
        <v>1590</v>
      </c>
    </row>
    <row r="60" spans="1:10" ht="15">
      <c r="A60" s="616" t="s">
        <v>1551</v>
      </c>
    </row>
    <row r="62" spans="1:10" ht="15.75">
      <c r="A62" s="617" t="s">
        <v>1552</v>
      </c>
      <c r="B62" s="618">
        <v>40</v>
      </c>
      <c r="C62" s="619">
        <f t="shared" ref="C62:J62" si="0">B62/SQRT(2)</f>
        <v>28.284271247461898</v>
      </c>
      <c r="D62" s="619">
        <f t="shared" si="0"/>
        <v>19.999999999999996</v>
      </c>
      <c r="E62" s="619">
        <f t="shared" si="0"/>
        <v>14.142135623730947</v>
      </c>
      <c r="F62" s="619">
        <f t="shared" si="0"/>
        <v>9.9999999999999964</v>
      </c>
      <c r="G62" s="620">
        <f t="shared" si="0"/>
        <v>7.071067811865472</v>
      </c>
      <c r="H62" s="620">
        <f t="shared" si="0"/>
        <v>4.9999999999999973</v>
      </c>
      <c r="I62" s="620">
        <f t="shared" si="0"/>
        <v>3.5355339059327355</v>
      </c>
      <c r="J62" s="620">
        <f t="shared" si="0"/>
        <v>2.4999999999999982</v>
      </c>
    </row>
    <row r="63" spans="1:10" ht="15.75">
      <c r="A63" s="617" t="s">
        <v>1553</v>
      </c>
      <c r="B63" s="618">
        <v>80</v>
      </c>
      <c r="C63" s="621">
        <f>B$63</f>
        <v>80</v>
      </c>
      <c r="D63" s="621">
        <f t="shared" ref="D63:J63" si="1">$B$63</f>
        <v>80</v>
      </c>
      <c r="E63" s="621">
        <f t="shared" si="1"/>
        <v>80</v>
      </c>
      <c r="F63" s="621">
        <f t="shared" si="1"/>
        <v>80</v>
      </c>
      <c r="G63" s="621">
        <f t="shared" si="1"/>
        <v>80</v>
      </c>
      <c r="H63" s="621">
        <f t="shared" si="1"/>
        <v>80</v>
      </c>
      <c r="I63" s="621">
        <f t="shared" si="1"/>
        <v>80</v>
      </c>
      <c r="J63" s="621">
        <f t="shared" si="1"/>
        <v>80</v>
      </c>
    </row>
    <row r="64" spans="1:10" ht="15.75">
      <c r="A64" s="617" t="s">
        <v>1554</v>
      </c>
      <c r="B64" s="622">
        <f t="shared" ref="B64:H64" si="2">B62/B63</f>
        <v>0.5</v>
      </c>
      <c r="C64" s="622">
        <f t="shared" si="2"/>
        <v>0.35355339059327373</v>
      </c>
      <c r="D64" s="622">
        <f t="shared" si="2"/>
        <v>0.24999999999999994</v>
      </c>
      <c r="E64" s="622">
        <f t="shared" si="2"/>
        <v>0.17677669529663684</v>
      </c>
      <c r="F64" s="622">
        <f t="shared" si="2"/>
        <v>0.12499999999999996</v>
      </c>
      <c r="G64" s="622">
        <f t="shared" si="2"/>
        <v>8.8388347648318405E-2</v>
      </c>
      <c r="H64" s="622">
        <f t="shared" si="2"/>
        <v>6.2499999999999965E-2</v>
      </c>
      <c r="I64" s="622">
        <f>I62/I63</f>
        <v>4.4194173824159196E-2</v>
      </c>
      <c r="J64" s="622">
        <f>J62/J63</f>
        <v>3.1249999999999979E-2</v>
      </c>
    </row>
    <row r="65" spans="1:10" ht="15.75">
      <c r="A65" s="623" t="s">
        <v>1555</v>
      </c>
      <c r="B65" s="622" t="str">
        <f>"1 zu " &amp; ROUND(1/B64,1)</f>
        <v>1 zu 2</v>
      </c>
      <c r="C65" s="622" t="str">
        <f t="shared" ref="C65:J65" si="3">"1 zu " &amp; ROUND(1/C64,1)</f>
        <v>1 zu 2,8</v>
      </c>
      <c r="D65" s="622" t="str">
        <f t="shared" si="3"/>
        <v>1 zu 4</v>
      </c>
      <c r="E65" s="622" t="str">
        <f t="shared" si="3"/>
        <v>1 zu 5,7</v>
      </c>
      <c r="F65" s="622" t="str">
        <f t="shared" si="3"/>
        <v>1 zu 8</v>
      </c>
      <c r="G65" s="622" t="str">
        <f t="shared" si="3"/>
        <v>1 zu 11,3</v>
      </c>
      <c r="H65" s="622" t="str">
        <f t="shared" si="3"/>
        <v>1 zu 16</v>
      </c>
      <c r="I65" s="622" t="str">
        <f t="shared" si="3"/>
        <v>1 zu 22,6</v>
      </c>
      <c r="J65" s="622" t="str">
        <f t="shared" si="3"/>
        <v>1 zu 32</v>
      </c>
    </row>
    <row r="66" spans="1:10" ht="15.75">
      <c r="A66" s="617"/>
      <c r="B66" s="624"/>
      <c r="C66" s="624"/>
      <c r="D66" s="624"/>
      <c r="E66" s="624"/>
      <c r="F66" s="624"/>
      <c r="G66" s="624"/>
      <c r="H66" s="624"/>
      <c r="I66" s="624"/>
      <c r="J66" s="624"/>
    </row>
    <row r="67" spans="1:10" ht="15.75">
      <c r="A67" s="617" t="s">
        <v>1409</v>
      </c>
      <c r="B67" s="622">
        <f>1/B64</f>
        <v>2</v>
      </c>
      <c r="C67" s="622">
        <f t="shared" ref="C67:J67" si="4">1/C64</f>
        <v>2.8284271247461903</v>
      </c>
      <c r="D67" s="622">
        <f t="shared" si="4"/>
        <v>4.0000000000000009</v>
      </c>
      <c r="E67" s="622">
        <f t="shared" si="4"/>
        <v>5.6568542494923815</v>
      </c>
      <c r="F67" s="622">
        <f t="shared" si="4"/>
        <v>8.0000000000000036</v>
      </c>
      <c r="G67" s="622">
        <f t="shared" si="4"/>
        <v>11.313708498984765</v>
      </c>
      <c r="H67" s="622">
        <f t="shared" si="4"/>
        <v>16.000000000000007</v>
      </c>
      <c r="I67" s="622">
        <f t="shared" si="4"/>
        <v>22.627416997969533</v>
      </c>
      <c r="J67" s="622">
        <f t="shared" si="4"/>
        <v>32.000000000000021</v>
      </c>
    </row>
    <row r="68" spans="1:10" ht="15.75">
      <c r="A68" s="617"/>
      <c r="B68" s="625"/>
      <c r="C68" s="621"/>
      <c r="D68" s="625"/>
      <c r="E68" s="625"/>
      <c r="F68" s="625"/>
      <c r="G68" s="625"/>
      <c r="H68" s="625"/>
      <c r="I68" s="625"/>
      <c r="J68" s="625"/>
    </row>
    <row r="69" spans="1:10" ht="15.75">
      <c r="A69" s="617" t="s">
        <v>1556</v>
      </c>
      <c r="B69" s="622">
        <f t="shared" ref="B69:G69" si="5">B62/2</f>
        <v>20</v>
      </c>
      <c r="C69" s="622">
        <f t="shared" si="5"/>
        <v>14.142135623730949</v>
      </c>
      <c r="D69" s="622">
        <f t="shared" si="5"/>
        <v>9.9999999999999982</v>
      </c>
      <c r="E69" s="622">
        <f t="shared" si="5"/>
        <v>7.0710678118654737</v>
      </c>
      <c r="F69" s="622">
        <f t="shared" si="5"/>
        <v>4.9999999999999982</v>
      </c>
      <c r="G69" s="622">
        <f t="shared" si="5"/>
        <v>3.535533905932736</v>
      </c>
      <c r="H69" s="622">
        <f>H62/2</f>
        <v>2.4999999999999987</v>
      </c>
      <c r="I69" s="622">
        <f>I62/2</f>
        <v>1.7677669529663678</v>
      </c>
      <c r="J69" s="622">
        <f>J62/2</f>
        <v>1.2499999999999991</v>
      </c>
    </row>
    <row r="70" spans="1:10" ht="15.75">
      <c r="A70" s="617" t="s">
        <v>1557</v>
      </c>
      <c r="B70" s="622">
        <f t="shared" ref="B70:H70" si="6">PI()*B69^2</f>
        <v>1256.6370614359173</v>
      </c>
      <c r="C70" s="622">
        <f t="shared" si="6"/>
        <v>628.31853071795854</v>
      </c>
      <c r="D70" s="622">
        <f t="shared" si="6"/>
        <v>314.15926535897921</v>
      </c>
      <c r="E70" s="622">
        <f t="shared" si="6"/>
        <v>157.07963267948958</v>
      </c>
      <c r="F70" s="622">
        <f t="shared" si="6"/>
        <v>78.539816339744775</v>
      </c>
      <c r="G70" s="622">
        <f t="shared" si="6"/>
        <v>39.269908169872373</v>
      </c>
      <c r="H70" s="622">
        <f t="shared" si="6"/>
        <v>19.634954084936183</v>
      </c>
      <c r="I70" s="622">
        <f>PI()*I69^2</f>
        <v>9.8174770424680915</v>
      </c>
      <c r="J70" s="622">
        <f>PI()*J69^2</f>
        <v>4.9087385212340449</v>
      </c>
    </row>
    <row r="71" spans="1:10" ht="15.75">
      <c r="A71" s="617" t="s">
        <v>1558</v>
      </c>
      <c r="B71" s="626">
        <v>1</v>
      </c>
      <c r="C71" s="627">
        <f t="shared" ref="C71:J71" si="7">C70/$B70</f>
        <v>0.49999999999999989</v>
      </c>
      <c r="D71" s="627">
        <f t="shared" si="7"/>
        <v>0.24999999999999992</v>
      </c>
      <c r="E71" s="627">
        <f t="shared" si="7"/>
        <v>0.12499999999999993</v>
      </c>
      <c r="F71" s="627">
        <f t="shared" si="7"/>
        <v>6.2499999999999951E-2</v>
      </c>
      <c r="G71" s="627">
        <f t="shared" si="7"/>
        <v>3.1249999999999965E-2</v>
      </c>
      <c r="H71" s="627">
        <f t="shared" si="7"/>
        <v>1.5624999999999981E-2</v>
      </c>
      <c r="I71" s="627">
        <f t="shared" si="7"/>
        <v>7.8124999999999905E-3</v>
      </c>
      <c r="J71" s="627">
        <f t="shared" si="7"/>
        <v>3.9062499999999944E-3</v>
      </c>
    </row>
    <row r="75" spans="1:10" ht="69.75" customHeight="1"/>
    <row r="76" spans="1:10" ht="18">
      <c r="B76" s="628"/>
      <c r="C76" s="628"/>
    </row>
    <row r="78" spans="1:10">
      <c r="A78" s="165"/>
      <c r="B78" s="629"/>
      <c r="C78" s="629"/>
    </row>
    <row r="79" spans="1:10">
      <c r="A79" s="165"/>
      <c r="B79" s="26"/>
      <c r="C79" s="26"/>
    </row>
    <row r="80" spans="1:10">
      <c r="A80" s="165"/>
      <c r="B80" s="630"/>
      <c r="C80" s="630"/>
    </row>
    <row r="81" spans="1:12">
      <c r="A81" s="165"/>
      <c r="B81" s="26"/>
      <c r="C81" s="26"/>
    </row>
    <row r="82" spans="1:12">
      <c r="A82" s="165"/>
      <c r="B82" s="26"/>
      <c r="C82" s="26"/>
    </row>
    <row r="84" spans="1:12">
      <c r="A84" s="1" t="s">
        <v>1559</v>
      </c>
      <c r="B84" s="1">
        <f t="shared" ref="B84:G84" si="8">B86/C86</f>
        <v>1.4142135623730949</v>
      </c>
      <c r="C84" s="1">
        <f t="shared" si="8"/>
        <v>1.4142135623730951</v>
      </c>
      <c r="D84" s="1">
        <f t="shared" si="8"/>
        <v>1.4142135623730949</v>
      </c>
      <c r="E84" s="1">
        <f t="shared" si="8"/>
        <v>1.4142135623730951</v>
      </c>
      <c r="F84" s="1">
        <f t="shared" si="8"/>
        <v>1.4142135623730949</v>
      </c>
      <c r="G84" s="1">
        <f t="shared" si="8"/>
        <v>1.4142135623730951</v>
      </c>
    </row>
    <row r="86" spans="1:12" ht="15.75">
      <c r="A86" s="617" t="s">
        <v>1552</v>
      </c>
      <c r="B86" s="647">
        <v>200</v>
      </c>
      <c r="C86" s="619">
        <f>C93*2</f>
        <v>141.42135623730951</v>
      </c>
      <c r="D86" s="621">
        <v>100</v>
      </c>
      <c r="E86" s="619">
        <f>E93*2</f>
        <v>70.710678118654755</v>
      </c>
      <c r="F86" s="621">
        <v>50</v>
      </c>
      <c r="G86" s="619">
        <f>G93*2</f>
        <v>35.355339059327378</v>
      </c>
      <c r="H86" s="621">
        <v>25</v>
      </c>
      <c r="I86" s="619">
        <f>I93*2</f>
        <v>17.677669529663689</v>
      </c>
      <c r="J86" s="621">
        <v>12.5</v>
      </c>
      <c r="K86" s="619">
        <f>K93*2</f>
        <v>8.8388347648318444</v>
      </c>
      <c r="L86" s="621">
        <v>6.25</v>
      </c>
    </row>
    <row r="87" spans="1:12" ht="15.75">
      <c r="A87" s="617" t="s">
        <v>1553</v>
      </c>
      <c r="B87" s="647">
        <v>200</v>
      </c>
      <c r="C87" s="621">
        <f>B87</f>
        <v>200</v>
      </c>
      <c r="D87" s="621">
        <f t="shared" ref="D87:L87" si="9">C87</f>
        <v>200</v>
      </c>
      <c r="E87" s="621">
        <f t="shared" si="9"/>
        <v>200</v>
      </c>
      <c r="F87" s="621">
        <f t="shared" si="9"/>
        <v>200</v>
      </c>
      <c r="G87" s="621">
        <f t="shared" si="9"/>
        <v>200</v>
      </c>
      <c r="H87" s="621">
        <f t="shared" si="9"/>
        <v>200</v>
      </c>
      <c r="I87" s="621">
        <f t="shared" si="9"/>
        <v>200</v>
      </c>
      <c r="J87" s="621">
        <f t="shared" si="9"/>
        <v>200</v>
      </c>
      <c r="K87" s="621">
        <f t="shared" si="9"/>
        <v>200</v>
      </c>
      <c r="L87" s="621">
        <f t="shared" si="9"/>
        <v>200</v>
      </c>
    </row>
    <row r="88" spans="1:12" ht="15.75">
      <c r="A88" s="617" t="s">
        <v>1554</v>
      </c>
      <c r="B88" s="622">
        <f t="shared" ref="B88:L88" si="10">B86/B87</f>
        <v>1</v>
      </c>
      <c r="C88" s="622">
        <f t="shared" si="10"/>
        <v>0.70710678118654757</v>
      </c>
      <c r="D88" s="622">
        <f t="shared" si="10"/>
        <v>0.5</v>
      </c>
      <c r="E88" s="622">
        <f t="shared" si="10"/>
        <v>0.35355339059327379</v>
      </c>
      <c r="F88" s="622">
        <f t="shared" si="10"/>
        <v>0.25</v>
      </c>
      <c r="G88" s="622">
        <f t="shared" si="10"/>
        <v>0.17677669529663689</v>
      </c>
      <c r="H88" s="622">
        <f t="shared" si="10"/>
        <v>0.125</v>
      </c>
      <c r="I88" s="622">
        <f t="shared" si="10"/>
        <v>8.8388347648318447E-2</v>
      </c>
      <c r="J88" s="622">
        <f t="shared" si="10"/>
        <v>6.25E-2</v>
      </c>
      <c r="K88" s="622">
        <f t="shared" si="10"/>
        <v>4.4194173824159223E-2</v>
      </c>
      <c r="L88" s="622">
        <f t="shared" si="10"/>
        <v>3.125E-2</v>
      </c>
    </row>
    <row r="89" spans="1:12" ht="15.75">
      <c r="A89" s="623" t="s">
        <v>1560</v>
      </c>
      <c r="B89" s="622">
        <f t="shared" ref="B89:L89" si="11">1/B88</f>
        <v>1</v>
      </c>
      <c r="C89" s="622">
        <f t="shared" si="11"/>
        <v>1.4142135623730949</v>
      </c>
      <c r="D89" s="622">
        <f t="shared" si="11"/>
        <v>2</v>
      </c>
      <c r="E89" s="622">
        <f t="shared" si="11"/>
        <v>2.8284271247461898</v>
      </c>
      <c r="F89" s="622">
        <f t="shared" si="11"/>
        <v>4</v>
      </c>
      <c r="G89" s="622">
        <f t="shared" si="11"/>
        <v>5.6568542494923797</v>
      </c>
      <c r="H89" s="622">
        <f t="shared" si="11"/>
        <v>8</v>
      </c>
      <c r="I89" s="622">
        <f t="shared" si="11"/>
        <v>11.313708498984759</v>
      </c>
      <c r="J89" s="622">
        <f t="shared" si="11"/>
        <v>16</v>
      </c>
      <c r="K89" s="622">
        <f t="shared" si="11"/>
        <v>22.627416997969519</v>
      </c>
      <c r="L89" s="622">
        <f t="shared" si="11"/>
        <v>32</v>
      </c>
    </row>
    <row r="90" spans="1:12" ht="15.75">
      <c r="A90" s="617"/>
      <c r="B90" s="624"/>
      <c r="C90" s="624"/>
      <c r="D90" s="624"/>
      <c r="E90" s="624"/>
      <c r="F90" s="624"/>
      <c r="G90" s="624"/>
      <c r="H90" s="624"/>
      <c r="I90" s="624"/>
      <c r="J90" s="624"/>
      <c r="K90" s="624"/>
      <c r="L90" s="624"/>
    </row>
    <row r="91" spans="1:12" ht="15.75">
      <c r="A91" s="617" t="s">
        <v>1409</v>
      </c>
      <c r="B91" s="622">
        <f t="shared" ref="B91:L91" si="12">B89</f>
        <v>1</v>
      </c>
      <c r="C91" s="622">
        <f>1/C88</f>
        <v>1.4142135623730949</v>
      </c>
      <c r="D91" s="622">
        <f t="shared" si="12"/>
        <v>2</v>
      </c>
      <c r="E91" s="622">
        <f>E89</f>
        <v>2.8284271247461898</v>
      </c>
      <c r="F91" s="622">
        <f t="shared" si="12"/>
        <v>4</v>
      </c>
      <c r="G91" s="622">
        <f>G89</f>
        <v>5.6568542494923797</v>
      </c>
      <c r="H91" s="622">
        <f t="shared" si="12"/>
        <v>8</v>
      </c>
      <c r="I91" s="622">
        <f>I89</f>
        <v>11.313708498984759</v>
      </c>
      <c r="J91" s="622">
        <f t="shared" si="12"/>
        <v>16</v>
      </c>
      <c r="K91" s="622">
        <f>K89</f>
        <v>22.627416997969519</v>
      </c>
      <c r="L91" s="622">
        <f t="shared" si="12"/>
        <v>32</v>
      </c>
    </row>
    <row r="92" spans="1:12" ht="15.75">
      <c r="A92" s="617"/>
      <c r="B92" s="625"/>
      <c r="C92" s="625"/>
      <c r="D92" s="625"/>
      <c r="E92" s="625"/>
      <c r="F92" s="625"/>
      <c r="G92" s="625"/>
      <c r="H92" s="625"/>
      <c r="I92" s="625"/>
      <c r="J92" s="625"/>
      <c r="K92" s="625"/>
      <c r="L92" s="625"/>
    </row>
    <row r="93" spans="1:12" ht="15.75">
      <c r="A93" s="617" t="s">
        <v>1556</v>
      </c>
      <c r="B93" s="622">
        <f t="shared" ref="B93:L93" si="13">B86/2</f>
        <v>100</v>
      </c>
      <c r="C93" s="622">
        <f>SQRT(C94/PI())</f>
        <v>70.710678118654755</v>
      </c>
      <c r="D93" s="622">
        <f t="shared" si="13"/>
        <v>50</v>
      </c>
      <c r="E93" s="622">
        <f>SQRT(E94/PI())</f>
        <v>35.355339059327378</v>
      </c>
      <c r="F93" s="622">
        <f t="shared" si="13"/>
        <v>25</v>
      </c>
      <c r="G93" s="622">
        <f>SQRT(G94/PI())</f>
        <v>17.677669529663689</v>
      </c>
      <c r="H93" s="622">
        <f t="shared" si="13"/>
        <v>12.5</v>
      </c>
      <c r="I93" s="622">
        <f>SQRT(I94/PI())</f>
        <v>8.8388347648318444</v>
      </c>
      <c r="J93" s="622">
        <f t="shared" si="13"/>
        <v>6.25</v>
      </c>
      <c r="K93" s="622">
        <f>SQRT(K94/PI())</f>
        <v>4.4194173824159222</v>
      </c>
      <c r="L93" s="622">
        <f t="shared" si="13"/>
        <v>3.125</v>
      </c>
    </row>
    <row r="94" spans="1:12" ht="15.75">
      <c r="A94" s="617" t="s">
        <v>1557</v>
      </c>
      <c r="B94" s="622">
        <f>PI()*B93^2</f>
        <v>31415.926535897932</v>
      </c>
      <c r="C94" s="622">
        <f>B94/2</f>
        <v>15707.963267948966</v>
      </c>
      <c r="D94" s="622">
        <f t="shared" ref="D94:L94" si="14">C94/2</f>
        <v>7853.981633974483</v>
      </c>
      <c r="E94" s="622">
        <f t="shared" si="14"/>
        <v>3926.9908169872415</v>
      </c>
      <c r="F94" s="622">
        <f t="shared" si="14"/>
        <v>1963.4954084936207</v>
      </c>
      <c r="G94" s="622">
        <f t="shared" si="14"/>
        <v>981.74770424681037</v>
      </c>
      <c r="H94" s="622">
        <f t="shared" si="14"/>
        <v>490.87385212340519</v>
      </c>
      <c r="I94" s="622">
        <f t="shared" si="14"/>
        <v>245.43692606170259</v>
      </c>
      <c r="J94" s="622">
        <f t="shared" si="14"/>
        <v>122.7184630308513</v>
      </c>
      <c r="K94" s="622">
        <f t="shared" si="14"/>
        <v>61.359231515425648</v>
      </c>
      <c r="L94" s="622">
        <f t="shared" si="14"/>
        <v>30.679615757712824</v>
      </c>
    </row>
    <row r="95" spans="1:12" ht="15.75">
      <c r="A95" s="617" t="s">
        <v>1558</v>
      </c>
      <c r="B95" s="626">
        <v>1</v>
      </c>
      <c r="C95" s="626">
        <f>C94/$B94</f>
        <v>0.5</v>
      </c>
      <c r="D95" s="626">
        <f t="shared" ref="D95:L95" si="15">D94/$B94</f>
        <v>0.25</v>
      </c>
      <c r="E95" s="626">
        <f t="shared" si="15"/>
        <v>0.125</v>
      </c>
      <c r="F95" s="626">
        <f t="shared" si="15"/>
        <v>6.25E-2</v>
      </c>
      <c r="G95" s="626">
        <f t="shared" si="15"/>
        <v>3.125E-2</v>
      </c>
      <c r="H95" s="626">
        <f t="shared" si="15"/>
        <v>1.5625E-2</v>
      </c>
      <c r="I95" s="626">
        <f t="shared" si="15"/>
        <v>7.8125E-3</v>
      </c>
      <c r="J95" s="626">
        <f t="shared" si="15"/>
        <v>3.90625E-3</v>
      </c>
      <c r="K95" s="626">
        <f t="shared" si="15"/>
        <v>1.953125E-3</v>
      </c>
      <c r="L95" s="626">
        <f t="shared" si="15"/>
        <v>9.765625E-4</v>
      </c>
    </row>
    <row r="98" spans="1:12" ht="15.75">
      <c r="A98" s="631" t="s">
        <v>1598</v>
      </c>
    </row>
    <row r="99" spans="1:12" ht="15.75">
      <c r="A99" s="631" t="s">
        <v>1561</v>
      </c>
      <c r="B99" s="632"/>
      <c r="C99" s="632"/>
      <c r="D99" s="632"/>
      <c r="E99" s="632"/>
      <c r="F99" s="632"/>
      <c r="G99" s="632"/>
      <c r="H99" s="632"/>
      <c r="I99" s="632"/>
      <c r="J99" s="632"/>
      <c r="K99" s="632"/>
      <c r="L99" s="632"/>
    </row>
    <row r="102" spans="1:12" ht="15">
      <c r="A102" s="616" t="s">
        <v>1562</v>
      </c>
    </row>
    <row r="104" spans="1:12">
      <c r="A104" s="165" t="s">
        <v>1591</v>
      </c>
      <c r="B104" s="465">
        <v>10</v>
      </c>
      <c r="C104" s="1" t="s">
        <v>344</v>
      </c>
      <c r="F104" s="26"/>
    </row>
    <row r="105" spans="1:12">
      <c r="A105" s="165" t="s">
        <v>1492</v>
      </c>
      <c r="B105" s="646">
        <v>80</v>
      </c>
      <c r="C105" s="1" t="s">
        <v>344</v>
      </c>
      <c r="F105" s="26"/>
    </row>
    <row r="106" spans="1:12">
      <c r="A106" s="165" t="s">
        <v>1353</v>
      </c>
      <c r="B106" s="641">
        <v>1</v>
      </c>
      <c r="F106" s="633"/>
    </row>
    <row r="107" spans="1:12">
      <c r="A107" s="165" t="s">
        <v>1360</v>
      </c>
      <c r="B107" s="641">
        <v>2</v>
      </c>
    </row>
    <row r="108" spans="1:12">
      <c r="A108" s="165"/>
    </row>
    <row r="109" spans="1:12" ht="15">
      <c r="A109" s="165" t="s">
        <v>92</v>
      </c>
      <c r="B109" s="643">
        <f>B107/B106</f>
        <v>2</v>
      </c>
      <c r="D109" s="1" t="s">
        <v>1597</v>
      </c>
    </row>
    <row r="110" spans="1:12">
      <c r="A110" s="243" t="s">
        <v>1493</v>
      </c>
      <c r="B110" s="511">
        <f>B105/SQRT(B109)</f>
        <v>56.568542494923797</v>
      </c>
      <c r="C110" s="1" t="s">
        <v>344</v>
      </c>
      <c r="D110" s="287" t="str">
        <f>"Die Brennweite 2 muss kürzer sein, wenn sich die Helligkeit auf dem Chip erhöhen soll."</f>
        <v>Die Brennweite 2 muss kürzer sein, wenn sich die Helligkeit auf dem Chip erhöhen soll.</v>
      </c>
    </row>
    <row r="111" spans="1:12" ht="15">
      <c r="A111" s="165" t="s">
        <v>1592</v>
      </c>
      <c r="B111" s="642">
        <f>B104/B105</f>
        <v>0.125</v>
      </c>
    </row>
    <row r="112" spans="1:12" ht="15">
      <c r="A112" s="165" t="s">
        <v>1593</v>
      </c>
      <c r="B112" s="642">
        <f>1/B111</f>
        <v>8</v>
      </c>
    </row>
    <row r="113" spans="1:7">
      <c r="A113" s="165" t="s">
        <v>1594</v>
      </c>
      <c r="B113" s="644">
        <f>B104/B110</f>
        <v>0.17677669529663689</v>
      </c>
      <c r="D113" s="1" t="s">
        <v>1596</v>
      </c>
    </row>
    <row r="114" spans="1:7">
      <c r="A114" s="165" t="s">
        <v>1595</v>
      </c>
      <c r="B114" s="645">
        <f>1/B113</f>
        <v>5.6568542494923797</v>
      </c>
    </row>
    <row r="115" spans="1:7">
      <c r="A115" s="165"/>
      <c r="B115" s="165"/>
    </row>
    <row r="116" spans="1:7">
      <c r="A116" s="287" t="str">
        <f>"Die neue Brennweite muss "&amp;ROUND(B110,2)&amp;" mm groß sein."</f>
        <v>Die neue Brennweite muss 56,57 mm groß sein.</v>
      </c>
    </row>
    <row r="117" spans="1:7">
      <c r="A117" s="287"/>
    </row>
    <row r="122" spans="1:7">
      <c r="A122" s="512"/>
      <c r="B122" s="512"/>
      <c r="C122" s="512"/>
      <c r="D122" s="512"/>
      <c r="E122" s="512"/>
      <c r="F122" s="512"/>
      <c r="G122" s="512"/>
    </row>
    <row r="123" spans="1:7">
      <c r="A123" s="512" t="s">
        <v>1489</v>
      </c>
      <c r="B123" s="512"/>
      <c r="C123" s="512"/>
      <c r="D123" s="512"/>
      <c r="E123" s="512"/>
      <c r="F123" s="512"/>
      <c r="G123" s="512"/>
    </row>
    <row r="124" spans="1:7">
      <c r="A124" s="512" t="s">
        <v>1490</v>
      </c>
      <c r="B124" s="512"/>
      <c r="C124" s="512"/>
      <c r="D124" s="512"/>
      <c r="E124" s="512"/>
      <c r="F124" s="512"/>
      <c r="G124" s="512"/>
    </row>
    <row r="125" spans="1:7">
      <c r="A125" s="512" t="s">
        <v>1491</v>
      </c>
      <c r="B125" s="512"/>
      <c r="C125" s="512"/>
      <c r="D125" s="512"/>
      <c r="E125" s="512"/>
      <c r="F125" s="512"/>
      <c r="G125" s="512"/>
    </row>
    <row r="126" spans="1:7">
      <c r="A126" s="512" t="s">
        <v>1546</v>
      </c>
      <c r="B126" s="512"/>
      <c r="C126" s="512"/>
      <c r="D126" s="512"/>
      <c r="E126" s="512"/>
      <c r="F126" s="512"/>
      <c r="G126" s="512"/>
    </row>
    <row r="127" spans="1:7">
      <c r="A127" s="518"/>
      <c r="B127" s="518"/>
      <c r="C127" s="518"/>
      <c r="D127" s="518"/>
      <c r="E127" s="518"/>
      <c r="F127" s="518"/>
      <c r="G127" s="518"/>
    </row>
    <row r="128" spans="1:7">
      <c r="A128" s="253" t="s">
        <v>1492</v>
      </c>
      <c r="B128" s="590">
        <v>50</v>
      </c>
      <c r="C128" s="518" t="s">
        <v>344</v>
      </c>
      <c r="D128" s="518"/>
      <c r="E128" s="518"/>
      <c r="F128" s="518"/>
      <c r="G128" s="518"/>
    </row>
    <row r="129" spans="1:7">
      <c r="A129" s="253" t="s">
        <v>1493</v>
      </c>
      <c r="B129" s="590">
        <v>180</v>
      </c>
      <c r="C129" s="518" t="s">
        <v>344</v>
      </c>
      <c r="D129" s="518"/>
      <c r="E129" s="518"/>
      <c r="F129" s="518"/>
      <c r="G129" s="518"/>
    </row>
    <row r="130" spans="1:7">
      <c r="A130" s="253" t="s">
        <v>1494</v>
      </c>
      <c r="B130" s="590">
        <v>20</v>
      </c>
      <c r="C130" s="518" t="s">
        <v>344</v>
      </c>
      <c r="D130" s="518"/>
      <c r="E130" s="518"/>
      <c r="F130" s="518"/>
      <c r="G130" s="518"/>
    </row>
    <row r="131" spans="1:7">
      <c r="A131" s="253"/>
      <c r="B131" s="518"/>
      <c r="C131" s="518"/>
      <c r="D131" s="518"/>
      <c r="E131" s="518"/>
      <c r="F131" s="518"/>
      <c r="G131" s="518"/>
    </row>
    <row r="132" spans="1:7">
      <c r="A132" s="253" t="s">
        <v>1495</v>
      </c>
      <c r="B132" s="525">
        <f>PI()*(B130/2)^2</f>
        <v>314.15926535897933</v>
      </c>
      <c r="C132" s="518" t="s">
        <v>355</v>
      </c>
      <c r="D132" s="518" t="s">
        <v>1496</v>
      </c>
      <c r="E132" s="518"/>
      <c r="F132" s="518"/>
      <c r="G132" s="518"/>
    </row>
    <row r="133" spans="1:7">
      <c r="A133" s="253"/>
      <c r="B133" s="518"/>
      <c r="C133" s="518"/>
      <c r="D133" s="518"/>
      <c r="E133" s="518"/>
      <c r="F133" s="518"/>
      <c r="G133" s="518"/>
    </row>
    <row r="134" spans="1:7">
      <c r="A134" s="253" t="s">
        <v>1497</v>
      </c>
      <c r="B134" s="518">
        <f>B129/B128</f>
        <v>3.6</v>
      </c>
      <c r="C134" s="518"/>
      <c r="D134" s="518"/>
      <c r="E134" s="518"/>
      <c r="F134" s="518"/>
      <c r="G134" s="518"/>
    </row>
    <row r="135" spans="1:7">
      <c r="A135" s="253" t="s">
        <v>1498</v>
      </c>
      <c r="B135" s="518">
        <f>B134^2</f>
        <v>12.96</v>
      </c>
      <c r="C135" s="518"/>
      <c r="D135" s="518"/>
      <c r="E135" s="518"/>
      <c r="F135" s="518"/>
      <c r="G135" s="518"/>
    </row>
    <row r="136" spans="1:7">
      <c r="A136" s="253" t="s">
        <v>92</v>
      </c>
      <c r="B136" s="518">
        <f>1/B135</f>
        <v>7.716049382716049E-2</v>
      </c>
      <c r="C136" s="518"/>
      <c r="D136" s="518"/>
      <c r="E136" s="518"/>
      <c r="F136" s="518"/>
      <c r="G136" s="518"/>
    </row>
    <row r="137" spans="1:7">
      <c r="A137" s="253" t="s">
        <v>1499</v>
      </c>
      <c r="B137" s="518">
        <f>1/B136</f>
        <v>12.96</v>
      </c>
      <c r="C137" s="518"/>
      <c r="D137" s="518"/>
      <c r="E137" s="518"/>
      <c r="F137" s="518"/>
      <c r="G137" s="518"/>
    </row>
    <row r="138" spans="1:7">
      <c r="A138" s="253"/>
      <c r="B138" s="518"/>
      <c r="C138" s="518"/>
      <c r="D138" s="518"/>
      <c r="E138" s="518"/>
      <c r="F138" s="518"/>
      <c r="G138" s="518"/>
    </row>
    <row r="139" spans="1:7">
      <c r="A139" s="253" t="s">
        <v>1500</v>
      </c>
      <c r="B139" s="525">
        <f>B132*B137</f>
        <v>4071.5040790523722</v>
      </c>
      <c r="C139" s="518" t="s">
        <v>355</v>
      </c>
      <c r="D139" s="518"/>
      <c r="E139" s="518"/>
      <c r="F139" s="518"/>
      <c r="G139" s="518"/>
    </row>
    <row r="140" spans="1:7">
      <c r="A140" s="253" t="s">
        <v>1501</v>
      </c>
      <c r="B140" s="518">
        <f>SQRT(B139/PI())</f>
        <v>36</v>
      </c>
      <c r="C140" s="518" t="s">
        <v>344</v>
      </c>
      <c r="D140" s="518"/>
      <c r="E140" s="518"/>
      <c r="F140" s="518"/>
      <c r="G140" s="518"/>
    </row>
    <row r="141" spans="1:7">
      <c r="A141" s="253" t="s">
        <v>1547</v>
      </c>
      <c r="B141" s="518">
        <f>2*B140</f>
        <v>72</v>
      </c>
      <c r="C141" s="518" t="s">
        <v>344</v>
      </c>
      <c r="D141" s="518"/>
      <c r="E141" s="518"/>
      <c r="F141" s="518"/>
      <c r="G141" s="518"/>
    </row>
    <row r="142" spans="1:7">
      <c r="A142" s="518"/>
      <c r="B142" s="518"/>
      <c r="C142" s="518"/>
      <c r="D142" s="518"/>
      <c r="E142" s="518"/>
      <c r="F142" s="518"/>
      <c r="G142" s="518"/>
    </row>
    <row r="143" spans="1:7">
      <c r="A143" s="518" t="str">
        <f>"Die Blendenöffnung des " &amp; B128 &amp; " mm-Objektivs muss einen Durchmesser von " &amp; ROUND(B140*2,2) &amp; " mm haben."</f>
        <v>Die Blendenöffnung des 50 mm-Objektivs muss einen Durchmesser von 72 mm haben.</v>
      </c>
      <c r="B143" s="518"/>
      <c r="C143" s="518"/>
      <c r="D143" s="518"/>
      <c r="E143" s="518"/>
      <c r="F143" s="518"/>
      <c r="G143" s="518"/>
    </row>
    <row r="144" spans="1:7">
      <c r="A144" s="512"/>
      <c r="B144" s="512"/>
      <c r="C144" s="512"/>
      <c r="D144" s="512"/>
      <c r="E144" s="512"/>
      <c r="F144" s="512"/>
      <c r="G144" s="512"/>
    </row>
    <row r="145" spans="1:7">
      <c r="A145" s="512"/>
      <c r="B145" s="512"/>
      <c r="C145" s="512"/>
      <c r="D145" s="512"/>
      <c r="E145" s="512"/>
      <c r="F145" s="512"/>
      <c r="G145" s="512"/>
    </row>
    <row r="146" spans="1:7">
      <c r="A146" s="512"/>
      <c r="B146" s="512"/>
      <c r="C146" s="512"/>
      <c r="D146" s="512"/>
      <c r="E146" s="512"/>
      <c r="F146" s="512"/>
      <c r="G146" s="512"/>
    </row>
    <row r="147" spans="1:7">
      <c r="A147" s="512"/>
      <c r="B147" s="512"/>
      <c r="C147" s="512"/>
      <c r="D147" s="512"/>
      <c r="E147" s="512"/>
      <c r="F147" s="512"/>
      <c r="G147" s="512"/>
    </row>
    <row r="148" spans="1:7">
      <c r="A148" s="518"/>
      <c r="B148" s="518"/>
      <c r="C148" s="518"/>
      <c r="D148" s="518"/>
      <c r="E148" s="518"/>
      <c r="F148" s="518"/>
      <c r="G148" s="518"/>
    </row>
    <row r="149" spans="1:7">
      <c r="A149" s="513" t="s">
        <v>1502</v>
      </c>
      <c r="B149" s="513"/>
      <c r="C149" s="513"/>
      <c r="D149" s="513"/>
      <c r="E149" s="513"/>
      <c r="F149" s="513"/>
      <c r="G149" s="513"/>
    </row>
    <row r="150" spans="1:7">
      <c r="A150" s="513" t="s">
        <v>1503</v>
      </c>
      <c r="B150" s="513"/>
      <c r="C150" s="513"/>
      <c r="D150" s="513"/>
      <c r="E150" s="513"/>
      <c r="F150" s="513"/>
      <c r="G150" s="513"/>
    </row>
    <row r="151" spans="1:7">
      <c r="A151" s="513"/>
      <c r="B151" s="513"/>
      <c r="C151" s="513"/>
      <c r="D151" s="513"/>
      <c r="E151" s="513"/>
      <c r="F151" s="513"/>
      <c r="G151" s="513"/>
    </row>
    <row r="152" spans="1:7">
      <c r="A152" s="513" t="s">
        <v>1504</v>
      </c>
      <c r="B152" s="513"/>
      <c r="C152" s="513"/>
      <c r="D152" s="513"/>
      <c r="E152" s="513"/>
      <c r="F152" s="513"/>
      <c r="G152" s="513"/>
    </row>
    <row r="153" spans="1:7">
      <c r="A153" s="513" t="s">
        <v>1505</v>
      </c>
      <c r="B153" s="513"/>
      <c r="C153" s="513"/>
      <c r="D153" s="513"/>
      <c r="E153" s="513"/>
      <c r="F153" s="513"/>
      <c r="G153" s="513"/>
    </row>
    <row r="154" spans="1:7">
      <c r="A154" s="513"/>
      <c r="B154" s="513"/>
      <c r="C154" s="513"/>
      <c r="D154" s="513"/>
      <c r="E154" s="513"/>
      <c r="F154" s="513"/>
      <c r="G154" s="513"/>
    </row>
    <row r="155" spans="1:7">
      <c r="A155" s="513" t="s">
        <v>1506</v>
      </c>
      <c r="B155" s="513"/>
      <c r="C155" s="513"/>
      <c r="D155" s="513"/>
      <c r="E155" s="513"/>
      <c r="F155" s="513"/>
      <c r="G155" s="513"/>
    </row>
    <row r="156" spans="1:7">
      <c r="A156" s="513" t="s">
        <v>1507</v>
      </c>
      <c r="B156" s="513"/>
      <c r="C156" s="513"/>
      <c r="D156" s="513"/>
      <c r="E156" s="513"/>
      <c r="F156" s="513"/>
      <c r="G156" s="513"/>
    </row>
    <row r="157" spans="1:7">
      <c r="A157" s="513"/>
      <c r="B157" s="513"/>
      <c r="C157" s="513"/>
      <c r="D157" s="513"/>
      <c r="E157" s="513"/>
      <c r="F157" s="513"/>
      <c r="G157" s="513"/>
    </row>
    <row r="158" spans="1:7">
      <c r="A158" s="513" t="s">
        <v>1508</v>
      </c>
      <c r="B158" s="513" t="s">
        <v>1509</v>
      </c>
      <c r="C158" s="513"/>
      <c r="D158" s="513"/>
      <c r="E158" s="513"/>
      <c r="F158" s="513"/>
      <c r="G158" s="513"/>
    </row>
    <row r="159" spans="1:7">
      <c r="A159" s="513"/>
      <c r="B159" s="513"/>
      <c r="C159" s="513"/>
      <c r="D159" s="513"/>
      <c r="E159" s="513"/>
      <c r="F159" s="513"/>
      <c r="G159" s="513"/>
    </row>
    <row r="160" spans="1:7">
      <c r="A160" s="541" t="s">
        <v>1545</v>
      </c>
      <c r="B160" s="590">
        <v>100</v>
      </c>
      <c r="C160" s="363" t="s">
        <v>215</v>
      </c>
      <c r="D160" s="590">
        <v>50</v>
      </c>
      <c r="E160" s="363" t="s">
        <v>215</v>
      </c>
      <c r="F160" s="513"/>
      <c r="G160" s="513"/>
    </row>
    <row r="161" spans="1:7">
      <c r="A161" s="541" t="s">
        <v>211</v>
      </c>
      <c r="B161" s="614">
        <f>SQRT(B160/PI())</f>
        <v>5.6418958354775626</v>
      </c>
      <c r="C161" s="363" t="s">
        <v>212</v>
      </c>
      <c r="D161" s="614">
        <f>SQRT(D160/PI())</f>
        <v>3.9894228040143269</v>
      </c>
      <c r="E161" s="363" t="s">
        <v>212</v>
      </c>
      <c r="F161" s="513"/>
      <c r="G161" s="513"/>
    </row>
    <row r="162" spans="1:7">
      <c r="A162" s="541" t="s">
        <v>1510</v>
      </c>
      <c r="B162" s="615">
        <f>B161*2</f>
        <v>11.283791670955125</v>
      </c>
      <c r="C162" s="363" t="s">
        <v>212</v>
      </c>
      <c r="D162" s="615">
        <f>D161*2</f>
        <v>7.9788456080286538</v>
      </c>
      <c r="E162" s="363" t="s">
        <v>212</v>
      </c>
      <c r="F162" s="513"/>
      <c r="G162" s="513"/>
    </row>
    <row r="163" spans="1:7">
      <c r="A163" s="512"/>
      <c r="B163" s="512"/>
      <c r="C163" s="512"/>
      <c r="D163" s="512"/>
      <c r="E163" s="512"/>
      <c r="F163" s="512"/>
      <c r="G163" s="512"/>
    </row>
    <row r="164" spans="1:7">
      <c r="A164" s="512" t="s">
        <v>1521</v>
      </c>
      <c r="B164" s="512"/>
      <c r="C164" s="598">
        <f>D161/B161</f>
        <v>0.70710678118654757</v>
      </c>
      <c r="D164" s="512" t="s">
        <v>1668</v>
      </c>
      <c r="E164" s="512"/>
      <c r="F164" s="512"/>
      <c r="G164" s="512"/>
    </row>
    <row r="165" spans="1:7">
      <c r="A165" s="512" t="s">
        <v>1522</v>
      </c>
      <c r="B165" s="512"/>
      <c r="C165" s="598">
        <f>B161/D161</f>
        <v>1.4142135623730949</v>
      </c>
      <c r="D165" s="512" t="s">
        <v>1669</v>
      </c>
      <c r="E165" s="512"/>
      <c r="F165" s="512"/>
      <c r="G165" s="512"/>
    </row>
    <row r="166" spans="1:7">
      <c r="A166" s="512"/>
      <c r="B166" s="512"/>
      <c r="C166" s="512"/>
      <c r="D166" s="512"/>
      <c r="E166" s="512"/>
      <c r="F166" s="512"/>
      <c r="G166" s="512"/>
    </row>
    <row r="167" spans="1:7">
      <c r="A167" s="512"/>
      <c r="B167" s="512"/>
      <c r="C167" s="512"/>
      <c r="D167" s="512"/>
      <c r="E167" s="512"/>
      <c r="F167" s="512"/>
      <c r="G167" s="512"/>
    </row>
    <row r="168" spans="1:7">
      <c r="A168" s="512"/>
      <c r="B168" s="512"/>
      <c r="C168" s="512"/>
      <c r="D168" s="512"/>
      <c r="E168" s="512"/>
      <c r="F168" s="512"/>
      <c r="G168" s="512"/>
    </row>
    <row r="169" spans="1:7">
      <c r="A169" s="512"/>
      <c r="B169" s="512"/>
      <c r="C169" s="512"/>
      <c r="D169" s="512"/>
      <c r="E169" s="512"/>
      <c r="F169" s="512"/>
      <c r="G169" s="512"/>
    </row>
    <row r="170" spans="1:7">
      <c r="A170" s="512"/>
      <c r="B170" s="512"/>
      <c r="C170" s="512"/>
      <c r="D170" s="512"/>
      <c r="E170" s="512"/>
      <c r="F170" s="512"/>
      <c r="G170" s="512"/>
    </row>
    <row r="171" spans="1:7">
      <c r="A171" s="518"/>
      <c r="B171" s="513"/>
      <c r="C171" s="513"/>
      <c r="D171" s="513"/>
      <c r="E171" s="513"/>
      <c r="F171" s="513"/>
      <c r="G171" s="512"/>
    </row>
    <row r="172" spans="1:7">
      <c r="A172" s="513" t="s">
        <v>1513</v>
      </c>
      <c r="B172" s="513"/>
      <c r="C172" s="513"/>
      <c r="D172" s="513"/>
      <c r="E172" s="513"/>
      <c r="F172" s="513"/>
      <c r="G172" s="512"/>
    </row>
    <row r="173" spans="1:7">
      <c r="A173" s="513" t="s">
        <v>1514</v>
      </c>
      <c r="B173" s="513"/>
      <c r="C173" s="513"/>
      <c r="D173" s="513"/>
      <c r="E173" s="513"/>
      <c r="F173" s="513"/>
      <c r="G173" s="512"/>
    </row>
    <row r="174" spans="1:7">
      <c r="A174" s="513" t="s">
        <v>1515</v>
      </c>
      <c r="B174" s="513"/>
      <c r="C174" s="513"/>
      <c r="D174" s="513"/>
      <c r="E174" s="513"/>
      <c r="F174" s="513"/>
      <c r="G174" s="512"/>
    </row>
    <row r="175" spans="1:7">
      <c r="A175" s="513"/>
      <c r="B175" s="513"/>
      <c r="C175" s="513"/>
      <c r="D175" s="513"/>
      <c r="E175" s="513"/>
      <c r="F175" s="513"/>
      <c r="G175" s="513"/>
    </row>
    <row r="176" spans="1:7">
      <c r="A176" s="513" t="s">
        <v>1492</v>
      </c>
      <c r="B176" s="613">
        <v>50</v>
      </c>
      <c r="C176" s="513" t="s">
        <v>344</v>
      </c>
      <c r="D176" s="613">
        <v>50</v>
      </c>
      <c r="E176" s="513" t="s">
        <v>344</v>
      </c>
      <c r="F176" s="613">
        <v>50</v>
      </c>
      <c r="G176" s="513" t="s">
        <v>344</v>
      </c>
    </row>
    <row r="177" spans="1:7">
      <c r="A177" s="513" t="s">
        <v>1493</v>
      </c>
      <c r="B177" s="613">
        <v>100</v>
      </c>
      <c r="C177" s="513" t="s">
        <v>344</v>
      </c>
      <c r="D177" s="613">
        <v>66</v>
      </c>
      <c r="E177" s="513" t="s">
        <v>344</v>
      </c>
      <c r="F177" s="613">
        <v>35</v>
      </c>
      <c r="G177" s="513" t="s">
        <v>344</v>
      </c>
    </row>
    <row r="178" spans="1:7">
      <c r="A178" s="513" t="s">
        <v>1494</v>
      </c>
      <c r="B178" s="613">
        <v>20</v>
      </c>
      <c r="C178" s="513" t="s">
        <v>344</v>
      </c>
      <c r="D178" s="613">
        <v>20</v>
      </c>
      <c r="E178" s="513" t="s">
        <v>344</v>
      </c>
      <c r="F178" s="613">
        <v>20</v>
      </c>
      <c r="G178" s="513" t="s">
        <v>344</v>
      </c>
    </row>
    <row r="179" spans="1:7">
      <c r="A179" s="513"/>
      <c r="B179" s="566"/>
      <c r="C179" s="513"/>
      <c r="D179" s="566"/>
      <c r="E179" s="513"/>
      <c r="F179" s="566"/>
      <c r="G179" s="513"/>
    </row>
    <row r="180" spans="1:7">
      <c r="A180" s="513" t="s">
        <v>1219</v>
      </c>
      <c r="B180" s="612">
        <f>B177/B176</f>
        <v>2</v>
      </c>
      <c r="C180" s="584"/>
      <c r="D180" s="612">
        <f>D177/D176</f>
        <v>1.32</v>
      </c>
      <c r="E180" s="584"/>
      <c r="F180" s="612">
        <f>F177/F176</f>
        <v>0.7</v>
      </c>
      <c r="G180" s="513"/>
    </row>
    <row r="181" spans="1:7">
      <c r="A181" s="513" t="s">
        <v>1516</v>
      </c>
      <c r="B181" s="566">
        <f>B180^2</f>
        <v>4</v>
      </c>
      <c r="C181" s="513"/>
      <c r="D181" s="566">
        <f>D180^2</f>
        <v>1.7424000000000002</v>
      </c>
      <c r="E181" s="513"/>
      <c r="F181" s="566">
        <f>F180^2</f>
        <v>0.48999999999999994</v>
      </c>
      <c r="G181" s="513"/>
    </row>
    <row r="182" spans="1:7">
      <c r="A182" s="513"/>
      <c r="B182" s="566"/>
      <c r="C182" s="513"/>
      <c r="D182" s="566"/>
      <c r="E182" s="513"/>
      <c r="F182" s="566"/>
      <c r="G182" s="513"/>
    </row>
    <row r="183" spans="1:7">
      <c r="A183" s="513" t="s">
        <v>92</v>
      </c>
      <c r="B183" s="566">
        <f>1/B181</f>
        <v>0.25</v>
      </c>
      <c r="C183" s="513"/>
      <c r="D183" s="611">
        <f>1/D181</f>
        <v>0.57392102846648296</v>
      </c>
      <c r="E183" s="513"/>
      <c r="F183" s="611">
        <f>1/F181</f>
        <v>2.0408163265306127</v>
      </c>
      <c r="G183" s="513"/>
    </row>
    <row r="184" spans="1:7">
      <c r="A184" s="513"/>
      <c r="B184" s="566"/>
      <c r="C184" s="513"/>
      <c r="D184" s="566"/>
      <c r="E184" s="513"/>
      <c r="F184" s="566"/>
      <c r="G184" s="513"/>
    </row>
    <row r="185" spans="1:7">
      <c r="A185" s="513" t="s">
        <v>1517</v>
      </c>
      <c r="B185" s="611">
        <f>B178/2</f>
        <v>10</v>
      </c>
      <c r="C185" s="513" t="s">
        <v>344</v>
      </c>
      <c r="D185" s="611">
        <f>D178/2</f>
        <v>10</v>
      </c>
      <c r="E185" s="513" t="s">
        <v>344</v>
      </c>
      <c r="F185" s="611">
        <f>F178/2</f>
        <v>10</v>
      </c>
      <c r="G185" s="513" t="s">
        <v>344</v>
      </c>
    </row>
    <row r="186" spans="1:7">
      <c r="A186" s="513" t="s">
        <v>1495</v>
      </c>
      <c r="B186" s="611">
        <f>PI()*B185^2</f>
        <v>314.15926535897933</v>
      </c>
      <c r="C186" s="513" t="s">
        <v>355</v>
      </c>
      <c r="D186" s="611">
        <f>PI()*D185^2</f>
        <v>314.15926535897933</v>
      </c>
      <c r="E186" s="513" t="s">
        <v>355</v>
      </c>
      <c r="F186" s="611">
        <f>PI()*F185^2</f>
        <v>314.15926535897933</v>
      </c>
      <c r="G186" s="513" t="s">
        <v>355</v>
      </c>
    </row>
    <row r="187" spans="1:7">
      <c r="A187" s="513"/>
      <c r="B187" s="566"/>
      <c r="C187" s="513"/>
      <c r="D187" s="566"/>
      <c r="E187" s="513"/>
      <c r="F187" s="566"/>
      <c r="G187" s="513"/>
    </row>
    <row r="188" spans="1:7">
      <c r="A188" s="513" t="s">
        <v>1500</v>
      </c>
      <c r="B188" s="611">
        <f>B181*B186</f>
        <v>1256.6370614359173</v>
      </c>
      <c r="C188" s="513" t="s">
        <v>355</v>
      </c>
      <c r="D188" s="611">
        <f>D181*D186</f>
        <v>547.39110396148567</v>
      </c>
      <c r="E188" s="513" t="s">
        <v>355</v>
      </c>
      <c r="F188" s="611">
        <f>F181*F186</f>
        <v>153.93804002589985</v>
      </c>
      <c r="G188" s="513" t="s">
        <v>355</v>
      </c>
    </row>
    <row r="189" spans="1:7">
      <c r="A189" s="513" t="s">
        <v>1518</v>
      </c>
      <c r="B189" s="611">
        <f>SQRT(B188/PI())</f>
        <v>20</v>
      </c>
      <c r="C189" s="513" t="s">
        <v>344</v>
      </c>
      <c r="D189" s="611">
        <f>SQRT(D188/PI())</f>
        <v>13.200000000000001</v>
      </c>
      <c r="E189" s="513" t="s">
        <v>344</v>
      </c>
      <c r="F189" s="611">
        <f>SQRT(F188/PI())</f>
        <v>7</v>
      </c>
      <c r="G189" s="513" t="s">
        <v>344</v>
      </c>
    </row>
    <row r="190" spans="1:7">
      <c r="A190" s="513"/>
      <c r="B190" s="566"/>
      <c r="C190" s="513"/>
      <c r="D190" s="566"/>
      <c r="E190" s="513"/>
      <c r="F190" s="566"/>
      <c r="G190" s="513"/>
    </row>
    <row r="191" spans="1:7">
      <c r="A191" s="513" t="s">
        <v>1519</v>
      </c>
      <c r="B191" s="612">
        <f>B189/B185</f>
        <v>2</v>
      </c>
      <c r="C191" s="584"/>
      <c r="D191" s="612">
        <f>D189/D185</f>
        <v>1.32</v>
      </c>
      <c r="E191" s="584"/>
      <c r="F191" s="612">
        <f>F189/F185</f>
        <v>0.7</v>
      </c>
      <c r="G191" s="513"/>
    </row>
    <row r="192" spans="1:7">
      <c r="A192" s="513" t="s">
        <v>1520</v>
      </c>
      <c r="B192" s="612">
        <f>B191</f>
        <v>2</v>
      </c>
      <c r="C192" s="584"/>
      <c r="D192" s="612">
        <f>D191</f>
        <v>1.32</v>
      </c>
      <c r="E192" s="584"/>
      <c r="F192" s="612">
        <f>F191</f>
        <v>0.7</v>
      </c>
      <c r="G192" s="513"/>
    </row>
    <row r="193" spans="1:7">
      <c r="A193" s="513"/>
      <c r="B193" s="513"/>
      <c r="C193" s="513"/>
      <c r="D193" s="513"/>
      <c r="E193" s="513"/>
      <c r="F193" s="513"/>
      <c r="G193" s="513"/>
    </row>
    <row r="194" spans="1:7">
      <c r="A194" s="2" t="str">
        <f>"Der Blendendurchmesser muss sich mit dem gleichen Faktor ändern, mit dem sich die Brennweite ändert"</f>
        <v>Der Blendendurchmesser muss sich mit dem gleichen Faktor ändern, mit dem sich die Brennweite ändert</v>
      </c>
      <c r="B194" s="513"/>
      <c r="C194" s="513"/>
      <c r="D194" s="513"/>
      <c r="E194" s="513"/>
      <c r="F194" s="513"/>
      <c r="G194" s="513"/>
    </row>
    <row r="195" spans="1:7">
      <c r="A195" s="525"/>
      <c r="B195" s="518"/>
      <c r="C195" s="518"/>
      <c r="D195" s="518"/>
      <c r="E195" s="518"/>
      <c r="F195" s="518"/>
      <c r="G195" s="518"/>
    </row>
    <row r="196" spans="1:7">
      <c r="A196" s="518"/>
      <c r="B196" s="518"/>
      <c r="C196" s="518"/>
      <c r="D196" s="518"/>
      <c r="E196" s="518"/>
      <c r="F196" s="518"/>
      <c r="G196" s="518"/>
    </row>
    <row r="197" spans="1:7">
      <c r="A197" s="518"/>
      <c r="B197" s="518"/>
      <c r="C197" s="518"/>
      <c r="D197" s="518"/>
      <c r="E197" s="518"/>
      <c r="F197" s="518"/>
      <c r="G197" s="518"/>
    </row>
    <row r="198" spans="1:7">
      <c r="A198" s="518"/>
      <c r="B198" s="518"/>
      <c r="C198" s="518"/>
      <c r="D198" s="518"/>
      <c r="E198" s="518"/>
      <c r="F198" s="518"/>
      <c r="G198" s="518"/>
    </row>
    <row r="199" spans="1:7">
      <c r="A199" s="518"/>
      <c r="B199" s="518"/>
      <c r="C199" s="518"/>
      <c r="D199" s="518"/>
      <c r="E199" s="518"/>
      <c r="F199" s="518"/>
      <c r="G199" s="518"/>
    </row>
    <row r="200" spans="1:7">
      <c r="A200" s="512"/>
      <c r="B200" s="512"/>
      <c r="C200" s="512"/>
      <c r="D200" s="512"/>
      <c r="E200" s="512"/>
      <c r="F200" s="512"/>
      <c r="G200" s="512"/>
    </row>
    <row r="201" spans="1:7">
      <c r="A201" s="363" t="s">
        <v>1334</v>
      </c>
      <c r="B201" s="363"/>
      <c r="C201" s="363"/>
      <c r="D201" s="363"/>
      <c r="E201" s="363"/>
      <c r="F201" s="363"/>
      <c r="G201" s="512"/>
    </row>
    <row r="202" spans="1:7">
      <c r="A202" s="363" t="s">
        <v>1335</v>
      </c>
      <c r="B202" s="363"/>
      <c r="C202" s="363"/>
      <c r="D202" s="363"/>
      <c r="E202" s="363"/>
      <c r="F202" s="363"/>
      <c r="G202" s="512"/>
    </row>
    <row r="203" spans="1:7">
      <c r="A203" s="363" t="s">
        <v>1336</v>
      </c>
      <c r="B203" s="363"/>
      <c r="C203" s="363"/>
      <c r="D203" s="363"/>
      <c r="E203" s="363"/>
      <c r="F203" s="363"/>
      <c r="G203" s="518"/>
    </row>
    <row r="204" spans="1:7">
      <c r="A204" s="363"/>
      <c r="B204" s="363"/>
      <c r="C204" s="363"/>
      <c r="D204" s="363"/>
      <c r="E204" s="363"/>
      <c r="F204" s="363"/>
      <c r="G204" s="518"/>
    </row>
    <row r="205" spans="1:7">
      <c r="A205" s="502" t="s">
        <v>54</v>
      </c>
      <c r="B205" s="363"/>
      <c r="C205" s="363"/>
      <c r="E205" s="363"/>
      <c r="F205" s="363"/>
      <c r="G205" s="518"/>
    </row>
    <row r="206" spans="1:7">
      <c r="A206" s="363"/>
      <c r="B206" s="363"/>
      <c r="C206" s="541" t="s">
        <v>1670</v>
      </c>
      <c r="E206" s="363"/>
      <c r="F206" s="363"/>
      <c r="G206" s="518"/>
    </row>
    <row r="207" spans="1:7">
      <c r="A207" s="541" t="s">
        <v>1316</v>
      </c>
      <c r="B207" s="593">
        <v>1000</v>
      </c>
      <c r="C207" s="363"/>
      <c r="D207" s="673" t="s">
        <v>1324</v>
      </c>
      <c r="E207" s="363"/>
      <c r="F207" s="363"/>
      <c r="G207" s="518"/>
    </row>
    <row r="208" spans="1:7">
      <c r="A208" s="541" t="s">
        <v>1318</v>
      </c>
      <c r="B208" s="593">
        <v>500</v>
      </c>
      <c r="C208" s="363"/>
      <c r="D208" s="673" t="s">
        <v>1333</v>
      </c>
      <c r="E208" s="363"/>
      <c r="F208" s="363"/>
      <c r="G208" s="518"/>
    </row>
    <row r="209" spans="1:7">
      <c r="A209" s="541" t="s">
        <v>1320</v>
      </c>
      <c r="B209" s="593">
        <v>1</v>
      </c>
      <c r="C209" s="363"/>
      <c r="D209" s="673" t="s">
        <v>1317</v>
      </c>
      <c r="E209" s="363"/>
      <c r="F209" s="363"/>
      <c r="G209" s="518"/>
    </row>
    <row r="210" spans="1:7">
      <c r="A210" s="541"/>
      <c r="B210" s="515"/>
      <c r="C210" s="363"/>
      <c r="D210" s="673" t="s">
        <v>1319</v>
      </c>
      <c r="E210" s="363"/>
      <c r="F210" s="363"/>
      <c r="G210" s="518"/>
    </row>
    <row r="211" spans="1:7">
      <c r="A211" s="222" t="s">
        <v>1323</v>
      </c>
      <c r="B211" s="515"/>
      <c r="C211" s="363"/>
      <c r="D211" s="673" t="s">
        <v>1321</v>
      </c>
      <c r="E211" s="363"/>
      <c r="F211" s="363"/>
      <c r="G211" s="518"/>
    </row>
    <row r="212" spans="1:7">
      <c r="A212" s="541"/>
      <c r="B212" s="515"/>
      <c r="C212" s="363"/>
      <c r="D212" s="673" t="s">
        <v>1322</v>
      </c>
      <c r="E212" s="363"/>
      <c r="F212" s="363"/>
      <c r="G212" s="518"/>
    </row>
    <row r="213" spans="1:7">
      <c r="A213" s="541" t="s">
        <v>1325</v>
      </c>
      <c r="B213" s="542">
        <f>1/(B207/B208-1)</f>
        <v>1</v>
      </c>
      <c r="C213" s="363"/>
      <c r="D213" s="363"/>
      <c r="E213" s="363"/>
      <c r="F213" s="363"/>
      <c r="G213" s="518"/>
    </row>
    <row r="214" spans="1:7">
      <c r="A214" s="541" t="s">
        <v>1326</v>
      </c>
      <c r="B214" s="543">
        <f>1/B213</f>
        <v>1</v>
      </c>
      <c r="C214" s="363"/>
      <c r="D214" s="363"/>
      <c r="E214" s="363"/>
      <c r="F214" s="363"/>
      <c r="G214" s="518"/>
    </row>
    <row r="215" spans="1:7">
      <c r="A215" s="363"/>
      <c r="B215" s="515"/>
      <c r="C215" s="363"/>
      <c r="D215" s="363"/>
      <c r="E215" s="363"/>
      <c r="F215" s="363"/>
      <c r="G215" s="518"/>
    </row>
    <row r="216" spans="1:7">
      <c r="A216" s="541" t="s">
        <v>1327</v>
      </c>
      <c r="B216" s="544">
        <f>B208+B208*B213</f>
        <v>1000</v>
      </c>
      <c r="C216" s="363"/>
      <c r="D216" s="363"/>
      <c r="E216" s="363"/>
      <c r="F216" s="363"/>
      <c r="G216" s="518"/>
    </row>
    <row r="217" spans="1:7">
      <c r="A217" s="541" t="s">
        <v>1332</v>
      </c>
      <c r="B217" s="542">
        <f>B216/B208</f>
        <v>2</v>
      </c>
      <c r="C217" s="363"/>
      <c r="D217" s="363"/>
      <c r="E217" s="363"/>
      <c r="F217" s="363"/>
      <c r="G217" s="518"/>
    </row>
    <row r="218" spans="1:7">
      <c r="A218" s="541" t="s">
        <v>1548</v>
      </c>
      <c r="B218" s="544">
        <f>B217^2</f>
        <v>4</v>
      </c>
      <c r="C218" s="363" t="s">
        <v>1550</v>
      </c>
      <c r="D218" s="363"/>
      <c r="E218" s="363"/>
      <c r="F218" s="363"/>
      <c r="G218" s="518"/>
    </row>
    <row r="219" spans="1:7">
      <c r="A219" s="541"/>
      <c r="B219" s="515"/>
      <c r="C219" s="363" t="s">
        <v>1549</v>
      </c>
      <c r="D219" s="363"/>
      <c r="E219" s="363"/>
      <c r="F219" s="363"/>
      <c r="G219" s="518"/>
    </row>
    <row r="220" spans="1:7">
      <c r="A220" s="222" t="s">
        <v>1328</v>
      </c>
      <c r="B220" s="515"/>
      <c r="C220" s="363"/>
      <c r="D220" s="363"/>
      <c r="E220" s="363"/>
      <c r="F220" s="363"/>
      <c r="G220" s="518"/>
    </row>
    <row r="221" spans="1:7">
      <c r="A221" s="541"/>
      <c r="B221" s="515"/>
      <c r="C221" s="363"/>
      <c r="D221" s="363"/>
      <c r="E221" s="363"/>
      <c r="F221" s="363"/>
      <c r="G221" s="518"/>
    </row>
    <row r="222" spans="1:7">
      <c r="A222" s="541" t="s">
        <v>1329</v>
      </c>
      <c r="B222" s="43">
        <f>1/(B216/B208)^2</f>
        <v>0.25</v>
      </c>
      <c r="C222" s="363"/>
      <c r="D222" s="363"/>
      <c r="E222" s="363"/>
      <c r="F222" s="363"/>
      <c r="G222" s="518"/>
    </row>
    <row r="223" spans="1:7">
      <c r="A223" s="541" t="s">
        <v>1330</v>
      </c>
      <c r="B223" s="544">
        <f>1/B222</f>
        <v>4</v>
      </c>
      <c r="C223" s="363"/>
      <c r="D223" s="363"/>
      <c r="E223" s="363"/>
      <c r="F223" s="363"/>
      <c r="G223" s="518"/>
    </row>
    <row r="224" spans="1:7">
      <c r="A224" s="363"/>
      <c r="B224" s="363"/>
      <c r="C224" s="363"/>
      <c r="D224" s="363"/>
      <c r="E224" s="363"/>
      <c r="F224" s="363"/>
      <c r="G224" s="518"/>
    </row>
    <row r="225" spans="1:7">
      <c r="A225" s="541" t="s">
        <v>1331</v>
      </c>
      <c r="B225" s="544">
        <f>B209*B218</f>
        <v>4</v>
      </c>
      <c r="C225" s="363"/>
      <c r="D225" s="363"/>
      <c r="E225" s="363"/>
      <c r="F225" s="363"/>
      <c r="G225" s="518"/>
    </row>
    <row r="226" spans="1:7">
      <c r="A226" s="512"/>
      <c r="B226" s="512"/>
      <c r="C226" s="512"/>
      <c r="D226" s="512"/>
      <c r="E226" s="512"/>
      <c r="F226" s="512"/>
      <c r="G226" s="512"/>
    </row>
  </sheetData>
  <pageMargins left="0.78740157499999996" right="0.78740157499999996" top="0.984251969" bottom="0.984251969" header="0.4921259845" footer="0.4921259845"/>
  <pageSetup paperSize="9" orientation="landscape" horizontalDpi="300" r:id="rId1"/>
  <headerFooter alignWithMargins="0">
    <oddHeader>&amp;A</oddHeader>
    <oddFooter>Seite &amp;P</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2">
    <pageSetUpPr fitToPage="1"/>
  </sheetPr>
  <dimension ref="A2:S464"/>
  <sheetViews>
    <sheetView zoomScale="90" zoomScaleNormal="90" workbookViewId="0">
      <selection activeCell="G84" sqref="G84"/>
    </sheetView>
  </sheetViews>
  <sheetFormatPr baseColWidth="10" defaultColWidth="11.42578125" defaultRowHeight="12.75"/>
  <cols>
    <col min="1" max="1" width="11.85546875" style="1" customWidth="1"/>
    <col min="2" max="2" width="56" style="1" customWidth="1"/>
    <col min="3" max="3" width="17.7109375" style="1" customWidth="1"/>
    <col min="4" max="4" width="16" style="1" customWidth="1"/>
    <col min="5" max="5" width="19.140625" style="1" customWidth="1"/>
    <col min="6" max="6" width="17.5703125" style="1" customWidth="1"/>
    <col min="7" max="7" width="24.42578125" style="1" customWidth="1"/>
    <col min="8" max="8" width="12.28515625" style="1" bestFit="1" customWidth="1"/>
    <col min="9" max="9" width="23.85546875" style="1" customWidth="1"/>
    <col min="10" max="10" width="27.7109375" style="1" customWidth="1"/>
    <col min="11" max="12" width="13.85546875" style="1" bestFit="1" customWidth="1"/>
    <col min="13" max="14" width="13.5703125" style="1" bestFit="1" customWidth="1"/>
    <col min="15" max="15" width="14.5703125" style="1" bestFit="1" customWidth="1"/>
    <col min="16" max="16384" width="11.42578125" style="1"/>
  </cols>
  <sheetData>
    <row r="2" spans="2:16">
      <c r="B2" s="1" t="s">
        <v>1601</v>
      </c>
    </row>
    <row r="3" spans="2:16">
      <c r="B3" s="1" t="s">
        <v>1599</v>
      </c>
    </row>
    <row r="4" spans="2:16">
      <c r="B4" s="1" t="s">
        <v>1600</v>
      </c>
    </row>
    <row r="6" spans="2:16">
      <c r="B6" s="165" t="s">
        <v>1563</v>
      </c>
    </row>
    <row r="7" spans="2:16">
      <c r="B7" s="165" t="s">
        <v>1564</v>
      </c>
    </row>
    <row r="8" spans="2:16">
      <c r="B8" s="165" t="s">
        <v>1565</v>
      </c>
    </row>
    <row r="9" spans="2:16">
      <c r="B9" s="1">
        <f>SQRT(SQRT(2))</f>
        <v>1.189207115002721</v>
      </c>
    </row>
    <row r="10" spans="2:16">
      <c r="B10" s="165" t="s">
        <v>1602</v>
      </c>
      <c r="C10" s="632">
        <v>4</v>
      </c>
      <c r="D10" s="632">
        <f t="shared" ref="D10:I10" si="0">C10*$B9</f>
        <v>4.7568284600108841</v>
      </c>
      <c r="E10" s="632">
        <f t="shared" si="0"/>
        <v>5.6568542494923797</v>
      </c>
      <c r="F10" s="632">
        <f t="shared" si="0"/>
        <v>6.7271713220297151</v>
      </c>
      <c r="G10" s="632">
        <f t="shared" si="0"/>
        <v>7.9999999999999982</v>
      </c>
      <c r="H10" s="632">
        <f t="shared" si="0"/>
        <v>9.5136569200217664</v>
      </c>
      <c r="I10" s="632">
        <f t="shared" si="0"/>
        <v>11.313708498984758</v>
      </c>
    </row>
    <row r="12" spans="2:16">
      <c r="B12" s="632"/>
      <c r="C12" s="632"/>
      <c r="D12" s="632"/>
      <c r="E12" s="632"/>
      <c r="F12" s="632"/>
      <c r="G12" s="632"/>
      <c r="H12" s="632"/>
      <c r="I12" s="632"/>
      <c r="J12" s="632"/>
      <c r="K12" s="632"/>
      <c r="L12" s="632"/>
      <c r="M12" s="632"/>
      <c r="N12" s="632"/>
      <c r="O12" s="632"/>
      <c r="P12" s="632"/>
    </row>
    <row r="15" spans="2:16">
      <c r="B15" s="1" t="s">
        <v>1604</v>
      </c>
    </row>
    <row r="16" spans="2:16" ht="18">
      <c r="B16" s="1" t="s">
        <v>1566</v>
      </c>
    </row>
    <row r="17" spans="2:8">
      <c r="B17" s="1" t="s">
        <v>1605</v>
      </c>
    </row>
    <row r="18" spans="2:8">
      <c r="B18" s="1" t="s">
        <v>1606</v>
      </c>
    </row>
    <row r="25" spans="2:8">
      <c r="D25" s="1" t="s">
        <v>1567</v>
      </c>
      <c r="H25" s="1" t="s">
        <v>93</v>
      </c>
    </row>
    <row r="42" spans="2:16">
      <c r="B42" s="24"/>
      <c r="C42" s="24"/>
      <c r="D42" s="24"/>
    </row>
    <row r="43" spans="2:16">
      <c r="B43" s="175"/>
      <c r="C43" s="175"/>
      <c r="D43" s="175"/>
      <c r="E43" s="8"/>
      <c r="F43" s="8"/>
      <c r="G43" s="8"/>
      <c r="H43" s="8"/>
      <c r="I43" s="8"/>
      <c r="J43" s="8"/>
      <c r="K43" s="8"/>
      <c r="L43" s="8"/>
    </row>
    <row r="44" spans="2:16">
      <c r="B44" s="24"/>
      <c r="C44" s="175"/>
      <c r="D44" s="175"/>
      <c r="E44" s="8"/>
      <c r="F44" s="8"/>
      <c r="G44" s="8"/>
      <c r="H44" s="8"/>
      <c r="I44" s="8"/>
      <c r="J44" s="8"/>
      <c r="K44" s="8"/>
      <c r="L44" s="8"/>
    </row>
    <row r="45" spans="2:16">
      <c r="C45" s="175"/>
      <c r="D45" s="175"/>
      <c r="E45" s="8"/>
      <c r="F45" s="8"/>
      <c r="G45" s="8"/>
      <c r="H45" s="8"/>
      <c r="I45" s="8"/>
      <c r="J45" s="8"/>
      <c r="K45" s="8"/>
      <c r="L45" s="8"/>
    </row>
    <row r="46" spans="2:16">
      <c r="B46" s="8"/>
      <c r="C46" s="8"/>
      <c r="D46" s="8"/>
      <c r="E46" s="8"/>
      <c r="F46" s="8"/>
      <c r="G46" s="8"/>
      <c r="H46" s="8"/>
      <c r="I46" s="8"/>
      <c r="J46" s="8"/>
      <c r="K46" s="8"/>
      <c r="L46" s="8"/>
      <c r="M46" s="8"/>
      <c r="N46" s="8"/>
      <c r="O46" s="8"/>
      <c r="P46" s="8"/>
    </row>
    <row r="47" spans="2:16">
      <c r="B47" s="8"/>
      <c r="C47" s="8"/>
      <c r="D47" s="8"/>
      <c r="E47" s="8"/>
      <c r="F47" s="8"/>
      <c r="G47" s="8"/>
      <c r="H47" s="8"/>
      <c r="I47" s="8"/>
      <c r="J47" s="8"/>
      <c r="K47" s="8"/>
      <c r="L47" s="8"/>
      <c r="M47" s="8"/>
      <c r="N47" s="8"/>
      <c r="O47" s="8"/>
      <c r="P47" s="8"/>
    </row>
    <row r="48" spans="2:16">
      <c r="B48" s="8"/>
      <c r="C48" s="8"/>
      <c r="D48" s="8"/>
      <c r="E48" s="8"/>
      <c r="F48" s="8"/>
      <c r="G48" s="8"/>
      <c r="H48" s="8"/>
      <c r="I48" s="8"/>
      <c r="J48" s="8"/>
      <c r="K48" s="8"/>
      <c r="L48" s="8"/>
      <c r="M48" s="8"/>
      <c r="N48" s="8"/>
      <c r="O48" s="8"/>
      <c r="P48" s="8"/>
    </row>
    <row r="49" spans="2:16">
      <c r="B49" s="8"/>
      <c r="C49" s="664" t="s">
        <v>1666</v>
      </c>
      <c r="D49" s="8"/>
      <c r="E49" s="8"/>
      <c r="F49" s="8"/>
      <c r="G49" s="8"/>
      <c r="H49" s="8"/>
      <c r="I49" s="8"/>
      <c r="J49" s="8"/>
      <c r="K49" s="8"/>
      <c r="L49" s="8"/>
      <c r="M49" s="8"/>
      <c r="N49" s="8"/>
      <c r="O49" s="8"/>
      <c r="P49" s="8"/>
    </row>
    <row r="50" spans="2:16" ht="15.75">
      <c r="B50" s="176"/>
      <c r="C50" s="8"/>
      <c r="D50" s="8"/>
      <c r="E50" s="8"/>
      <c r="F50" s="8"/>
      <c r="G50" s="8"/>
      <c r="H50" s="8"/>
      <c r="I50" s="8"/>
      <c r="J50" s="8"/>
      <c r="K50" s="8"/>
      <c r="L50" s="8"/>
      <c r="M50" s="8"/>
      <c r="N50" s="8"/>
      <c r="O50" s="8"/>
      <c r="P50" s="8"/>
    </row>
    <row r="51" spans="2:16">
      <c r="B51" s="8"/>
      <c r="C51" s="663" t="s">
        <v>1658</v>
      </c>
      <c r="D51" s="667">
        <v>50</v>
      </c>
      <c r="E51" s="668">
        <f t="shared" ref="E51:J51" si="1">D51</f>
        <v>50</v>
      </c>
      <c r="F51" s="672">
        <f t="shared" si="1"/>
        <v>50</v>
      </c>
      <c r="G51" s="671">
        <f t="shared" si="1"/>
        <v>50</v>
      </c>
      <c r="H51" s="672">
        <f t="shared" si="1"/>
        <v>50</v>
      </c>
      <c r="I51" s="671">
        <f t="shared" si="1"/>
        <v>50</v>
      </c>
      <c r="J51" s="672">
        <f t="shared" si="1"/>
        <v>50</v>
      </c>
      <c r="K51" s="8"/>
      <c r="L51" s="8"/>
      <c r="M51" s="8"/>
      <c r="N51" s="8"/>
      <c r="O51" s="8"/>
      <c r="P51" s="8"/>
    </row>
    <row r="52" spans="2:16">
      <c r="B52" s="8"/>
      <c r="C52" s="8"/>
      <c r="D52" s="8"/>
      <c r="E52" s="175"/>
      <c r="F52" s="175"/>
      <c r="G52" s="175"/>
      <c r="H52" s="175"/>
      <c r="I52" s="175"/>
      <c r="J52" s="8"/>
      <c r="K52" s="8"/>
      <c r="L52" s="8"/>
      <c r="M52" s="8"/>
      <c r="N52" s="8"/>
      <c r="O52" s="8"/>
      <c r="P52" s="8"/>
    </row>
    <row r="53" spans="2:16">
      <c r="B53" s="234"/>
      <c r="C53" s="664" t="s">
        <v>1660</v>
      </c>
      <c r="D53" s="661"/>
      <c r="E53" s="668"/>
      <c r="F53" s="668"/>
      <c r="G53" s="671"/>
      <c r="H53" s="671"/>
      <c r="I53" s="671"/>
      <c r="J53" s="670"/>
      <c r="P53" s="8"/>
    </row>
    <row r="54" spans="2:16">
      <c r="B54" s="234"/>
      <c r="C54" s="663" t="s">
        <v>1659</v>
      </c>
      <c r="D54" s="666">
        <v>2</v>
      </c>
      <c r="E54" s="668">
        <f t="shared" ref="E54:J54" si="2">D54*$D$55</f>
        <v>2.3784142300054421</v>
      </c>
      <c r="F54" s="672">
        <f t="shared" si="2"/>
        <v>2.8284271247461898</v>
      </c>
      <c r="G54" s="671">
        <f t="shared" si="2"/>
        <v>3.3635856610148576</v>
      </c>
      <c r="H54" s="672">
        <f t="shared" si="2"/>
        <v>3.9999999999999991</v>
      </c>
      <c r="I54" s="671">
        <f t="shared" si="2"/>
        <v>4.7568284600108832</v>
      </c>
      <c r="J54" s="672">
        <f t="shared" si="2"/>
        <v>5.6568542494923788</v>
      </c>
      <c r="L54" s="8"/>
      <c r="P54" s="8"/>
    </row>
    <row r="55" spans="2:16">
      <c r="B55" s="234"/>
      <c r="C55" s="669" t="s">
        <v>1667</v>
      </c>
      <c r="D55" s="665">
        <f>SQRT(2)^(1/2)</f>
        <v>1.189207115002721</v>
      </c>
      <c r="E55" s="668"/>
      <c r="F55" s="668"/>
      <c r="G55" s="671"/>
      <c r="H55" s="671"/>
      <c r="I55" s="671"/>
      <c r="J55" s="671"/>
      <c r="L55" s="662" t="s">
        <v>1662</v>
      </c>
      <c r="P55" s="8"/>
    </row>
    <row r="56" spans="2:16">
      <c r="B56" s="8"/>
      <c r="C56" s="8"/>
      <c r="D56" s="8"/>
      <c r="E56" s="8"/>
      <c r="F56" s="8"/>
      <c r="G56" s="175"/>
      <c r="H56" s="8"/>
      <c r="I56" s="8"/>
      <c r="J56" s="8"/>
      <c r="K56" s="8"/>
      <c r="L56" s="8"/>
      <c r="M56" s="8"/>
      <c r="N56" s="8"/>
      <c r="O56" s="8"/>
      <c r="P56" s="8"/>
    </row>
    <row r="57" spans="2:16">
      <c r="C57" s="663" t="s">
        <v>1656</v>
      </c>
      <c r="D57" s="665">
        <f t="shared" ref="D57:J57" si="3">D58/2</f>
        <v>12.5</v>
      </c>
      <c r="E57" s="668">
        <f t="shared" si="3"/>
        <v>10.511205190671433</v>
      </c>
      <c r="F57" s="672">
        <f t="shared" si="3"/>
        <v>8.8388347648318444</v>
      </c>
      <c r="G57" s="671">
        <f t="shared" si="3"/>
        <v>7.4325444687670084</v>
      </c>
      <c r="H57" s="672">
        <f t="shared" si="3"/>
        <v>6.2500000000000018</v>
      </c>
      <c r="I57" s="671">
        <f t="shared" si="3"/>
        <v>5.2556025953357173</v>
      </c>
      <c r="J57" s="672">
        <f t="shared" si="3"/>
        <v>4.4194173824159231</v>
      </c>
      <c r="L57" s="1" t="s">
        <v>1664</v>
      </c>
    </row>
    <row r="58" spans="2:16">
      <c r="C58" s="663" t="s">
        <v>1657</v>
      </c>
      <c r="D58" s="665">
        <f t="shared" ref="D58:J58" si="4">D51/D54</f>
        <v>25</v>
      </c>
      <c r="E58" s="668">
        <f t="shared" si="4"/>
        <v>21.022410381342866</v>
      </c>
      <c r="F58" s="672">
        <f t="shared" si="4"/>
        <v>17.677669529663689</v>
      </c>
      <c r="G58" s="671">
        <f t="shared" si="4"/>
        <v>14.865088937534017</v>
      </c>
      <c r="H58" s="672">
        <f t="shared" si="4"/>
        <v>12.500000000000004</v>
      </c>
      <c r="I58" s="671">
        <f t="shared" si="4"/>
        <v>10.511205190671435</v>
      </c>
      <c r="J58" s="672">
        <f t="shared" si="4"/>
        <v>8.8388347648318462</v>
      </c>
    </row>
    <row r="59" spans="2:16">
      <c r="C59" s="24"/>
      <c r="D59" s="639"/>
      <c r="E59" s="24"/>
      <c r="F59" s="24"/>
      <c r="G59" s="175"/>
      <c r="H59" s="175"/>
      <c r="I59" s="175"/>
      <c r="J59" s="8"/>
    </row>
    <row r="60" spans="2:16">
      <c r="C60" s="663" t="s">
        <v>1655</v>
      </c>
      <c r="D60" s="665">
        <f>PI()*D57^2</f>
        <v>490.87385212340519</v>
      </c>
      <c r="E60" s="668">
        <f t="shared" ref="E60:J60" si="5">D60/$D$61</f>
        <v>347.10022954362233</v>
      </c>
      <c r="F60" s="672">
        <f t="shared" si="5"/>
        <v>245.43692606170256</v>
      </c>
      <c r="G60" s="671">
        <f t="shared" si="5"/>
        <v>173.55011477181114</v>
      </c>
      <c r="H60" s="672">
        <f t="shared" si="5"/>
        <v>122.71846303085125</v>
      </c>
      <c r="I60" s="671">
        <f t="shared" si="5"/>
        <v>86.775057385905555</v>
      </c>
      <c r="J60" s="672">
        <f t="shared" si="5"/>
        <v>61.35923151542562</v>
      </c>
      <c r="K60" s="8"/>
      <c r="L60" s="8"/>
    </row>
    <row r="61" spans="2:16">
      <c r="C61" s="669" t="s">
        <v>1667</v>
      </c>
      <c r="D61" s="665">
        <f>2^(1/2)</f>
        <v>1.4142135623730951</v>
      </c>
      <c r="G61" s="24"/>
      <c r="L61" s="662" t="s">
        <v>1663</v>
      </c>
    </row>
    <row r="62" spans="2:16">
      <c r="B62" s="24"/>
      <c r="C62" s="24"/>
      <c r="D62" s="24"/>
      <c r="E62" s="24"/>
      <c r="F62" s="24"/>
      <c r="G62" s="24"/>
      <c r="H62" s="24"/>
      <c r="I62" s="24"/>
      <c r="J62" s="24"/>
      <c r="K62" s="24"/>
    </row>
    <row r="63" spans="2:16">
      <c r="B63" s="24"/>
      <c r="C63" s="24"/>
      <c r="D63" s="24"/>
      <c r="E63" s="24"/>
      <c r="F63" s="24"/>
      <c r="G63" s="24"/>
      <c r="H63" s="24"/>
      <c r="I63" s="24"/>
      <c r="J63" s="24"/>
      <c r="K63" s="24"/>
    </row>
    <row r="64" spans="2:16">
      <c r="B64" s="24"/>
      <c r="C64" s="663"/>
      <c r="D64" s="668"/>
      <c r="E64" s="668"/>
      <c r="F64" s="668"/>
      <c r="G64" s="668"/>
      <c r="H64" s="668"/>
      <c r="I64" s="668"/>
      <c r="J64" s="668"/>
      <c r="K64" s="24"/>
    </row>
    <row r="65" spans="2:12">
      <c r="B65" s="24"/>
      <c r="C65" s="663"/>
      <c r="D65" s="663"/>
      <c r="E65" s="663"/>
      <c r="F65" s="663"/>
      <c r="G65" s="663"/>
      <c r="H65" s="663"/>
      <c r="I65" s="663"/>
      <c r="J65" s="663"/>
      <c r="K65" s="24"/>
    </row>
    <row r="66" spans="2:12">
      <c r="B66" s="24"/>
      <c r="C66" s="663"/>
      <c r="D66" s="663"/>
      <c r="E66" s="663"/>
      <c r="F66" s="663"/>
      <c r="G66" s="663"/>
      <c r="H66" s="663"/>
      <c r="I66" s="663"/>
      <c r="J66" s="663"/>
      <c r="K66" s="24"/>
      <c r="L66" s="24"/>
    </row>
    <row r="67" spans="2:12">
      <c r="B67" s="24"/>
      <c r="C67" s="664" t="s">
        <v>1665</v>
      </c>
      <c r="D67" s="8"/>
      <c r="E67" s="8"/>
      <c r="F67" s="8"/>
      <c r="G67" s="8"/>
      <c r="H67" s="8"/>
      <c r="I67" s="8"/>
      <c r="J67" s="8"/>
      <c r="K67" s="8"/>
      <c r="L67" s="8"/>
    </row>
    <row r="68" spans="2:12">
      <c r="B68" s="24"/>
      <c r="C68" s="8"/>
      <c r="D68" s="8"/>
      <c r="E68" s="8"/>
      <c r="F68" s="8"/>
      <c r="G68" s="8"/>
      <c r="H68" s="8"/>
      <c r="I68" s="8"/>
      <c r="J68" s="8"/>
      <c r="K68" s="8"/>
      <c r="L68" s="8"/>
    </row>
    <row r="69" spans="2:12">
      <c r="B69" s="24"/>
      <c r="C69" s="663" t="s">
        <v>1658</v>
      </c>
      <c r="D69" s="667">
        <v>50</v>
      </c>
      <c r="E69" s="668">
        <f t="shared" ref="E69:J69" si="6">D69</f>
        <v>50</v>
      </c>
      <c r="F69" s="668">
        <f t="shared" si="6"/>
        <v>50</v>
      </c>
      <c r="G69" s="665">
        <f t="shared" si="6"/>
        <v>50</v>
      </c>
      <c r="H69" s="668">
        <f t="shared" si="6"/>
        <v>50</v>
      </c>
      <c r="I69" s="668">
        <f t="shared" si="6"/>
        <v>50</v>
      </c>
      <c r="J69" s="665">
        <f t="shared" si="6"/>
        <v>50</v>
      </c>
      <c r="K69" s="8"/>
      <c r="L69" s="8"/>
    </row>
    <row r="70" spans="2:12">
      <c r="B70" s="24"/>
      <c r="C70" s="8"/>
      <c r="D70" s="8"/>
      <c r="E70" s="175"/>
      <c r="F70" s="175"/>
      <c r="G70" s="8"/>
      <c r="H70" s="175"/>
      <c r="I70" s="175"/>
      <c r="J70" s="8"/>
      <c r="K70" s="8"/>
      <c r="L70" s="8"/>
    </row>
    <row r="71" spans="2:12">
      <c r="B71" s="24"/>
      <c r="C71" s="664" t="s">
        <v>1654</v>
      </c>
      <c r="D71" s="661"/>
      <c r="E71" s="668"/>
      <c r="F71" s="668"/>
      <c r="G71" s="661"/>
      <c r="H71" s="668"/>
      <c r="I71" s="668"/>
      <c r="J71" s="661"/>
    </row>
    <row r="72" spans="2:12">
      <c r="B72" s="24"/>
      <c r="C72" s="663" t="s">
        <v>1659</v>
      </c>
      <c r="D72" s="666">
        <v>2</v>
      </c>
      <c r="E72" s="668">
        <f t="shared" ref="E72:J72" si="7">D72*$D$55</f>
        <v>2.3784142300054421</v>
      </c>
      <c r="F72" s="668">
        <f t="shared" si="7"/>
        <v>2.8284271247461898</v>
      </c>
      <c r="G72" s="665">
        <f t="shared" si="7"/>
        <v>3.3635856610148576</v>
      </c>
      <c r="H72" s="668">
        <f t="shared" si="7"/>
        <v>3.9999999999999991</v>
      </c>
      <c r="I72" s="668">
        <f t="shared" si="7"/>
        <v>4.7568284600108832</v>
      </c>
      <c r="J72" s="665">
        <f t="shared" si="7"/>
        <v>5.6568542494923788</v>
      </c>
      <c r="L72" s="8"/>
    </row>
    <row r="73" spans="2:12">
      <c r="B73" s="24"/>
      <c r="C73" s="669" t="s">
        <v>1661</v>
      </c>
      <c r="D73" s="665">
        <f>SQRT(2)^(1/3)</f>
        <v>1.122462048309373</v>
      </c>
      <c r="E73" s="668"/>
      <c r="F73" s="668"/>
      <c r="G73" s="668"/>
      <c r="H73" s="668"/>
      <c r="I73" s="668"/>
      <c r="J73" s="668"/>
      <c r="L73" s="662" t="s">
        <v>1662</v>
      </c>
    </row>
    <row r="74" spans="2:12">
      <c r="B74" s="24"/>
      <c r="C74" s="8"/>
      <c r="D74" s="8"/>
      <c r="E74" s="8"/>
      <c r="F74" s="8"/>
      <c r="G74" s="8"/>
      <c r="H74" s="8"/>
      <c r="I74" s="8"/>
      <c r="J74" s="8"/>
      <c r="K74" s="8"/>
      <c r="L74" s="8"/>
    </row>
    <row r="75" spans="2:12">
      <c r="B75" s="24"/>
      <c r="C75" s="663" t="s">
        <v>1656</v>
      </c>
      <c r="D75" s="665">
        <f t="shared" ref="D75:J75" si="8">D76/2</f>
        <v>12.5</v>
      </c>
      <c r="E75" s="668">
        <f t="shared" si="8"/>
        <v>10.511205190671433</v>
      </c>
      <c r="F75" s="668">
        <f t="shared" si="8"/>
        <v>8.8388347648318444</v>
      </c>
      <c r="G75" s="665">
        <f t="shared" si="8"/>
        <v>7.4325444687670084</v>
      </c>
      <c r="H75" s="668">
        <f t="shared" si="8"/>
        <v>6.2500000000000018</v>
      </c>
      <c r="I75" s="668">
        <f t="shared" si="8"/>
        <v>5.2556025953357173</v>
      </c>
      <c r="J75" s="665">
        <f t="shared" si="8"/>
        <v>4.4194173824159231</v>
      </c>
      <c r="L75" s="1" t="s">
        <v>1664</v>
      </c>
    </row>
    <row r="76" spans="2:12">
      <c r="B76" s="24"/>
      <c r="C76" s="663" t="s">
        <v>1657</v>
      </c>
      <c r="D76" s="665">
        <f t="shared" ref="D76:J76" si="9">D69/D72</f>
        <v>25</v>
      </c>
      <c r="E76" s="668">
        <f t="shared" si="9"/>
        <v>21.022410381342866</v>
      </c>
      <c r="F76" s="668">
        <f t="shared" si="9"/>
        <v>17.677669529663689</v>
      </c>
      <c r="G76" s="665">
        <f t="shared" si="9"/>
        <v>14.865088937534017</v>
      </c>
      <c r="H76" s="668">
        <f t="shared" si="9"/>
        <v>12.500000000000004</v>
      </c>
      <c r="I76" s="668">
        <f t="shared" si="9"/>
        <v>10.511205190671435</v>
      </c>
      <c r="J76" s="665">
        <f t="shared" si="9"/>
        <v>8.8388347648318462</v>
      </c>
    </row>
    <row r="77" spans="2:12">
      <c r="B77" s="24"/>
      <c r="C77" s="24"/>
      <c r="D77" s="639"/>
      <c r="E77" s="24"/>
      <c r="F77" s="24"/>
      <c r="G77" s="639"/>
      <c r="H77" s="24"/>
      <c r="I77" s="24"/>
      <c r="J77" s="639"/>
    </row>
    <row r="78" spans="2:12">
      <c r="B78" s="24"/>
      <c r="C78" s="663" t="s">
        <v>1655</v>
      </c>
      <c r="D78" s="665">
        <f>PI()*D75^2</f>
        <v>490.87385212340519</v>
      </c>
      <c r="E78" s="668">
        <f t="shared" ref="E78:J78" si="10">D78/$D$61</f>
        <v>347.10022954362233</v>
      </c>
      <c r="F78" s="668">
        <f t="shared" si="10"/>
        <v>245.43692606170256</v>
      </c>
      <c r="G78" s="665">
        <f t="shared" si="10"/>
        <v>173.55011477181114</v>
      </c>
      <c r="H78" s="668">
        <f t="shared" si="10"/>
        <v>122.71846303085125</v>
      </c>
      <c r="I78" s="668">
        <f t="shared" si="10"/>
        <v>86.775057385905555</v>
      </c>
      <c r="J78" s="665">
        <f t="shared" si="10"/>
        <v>61.35923151542562</v>
      </c>
      <c r="K78" s="8"/>
      <c r="L78" s="8"/>
    </row>
    <row r="79" spans="2:12">
      <c r="B79" s="24"/>
      <c r="C79" s="669" t="s">
        <v>1661</v>
      </c>
      <c r="D79" s="665">
        <f>2^(1/3)</f>
        <v>1.2599210498948732</v>
      </c>
      <c r="L79" s="662" t="s">
        <v>1663</v>
      </c>
    </row>
    <row r="80" spans="2:12">
      <c r="B80" s="24"/>
      <c r="C80" s="24"/>
      <c r="D80" s="24"/>
      <c r="E80" s="24"/>
      <c r="F80" s="24"/>
      <c r="G80" s="24"/>
      <c r="H80" s="24"/>
      <c r="I80" s="24"/>
      <c r="J80" s="24"/>
      <c r="K80" s="24"/>
      <c r="L80" s="24"/>
    </row>
    <row r="81" spans="2:13">
      <c r="B81" s="24"/>
      <c r="C81" s="24"/>
      <c r="D81" s="24"/>
      <c r="E81" s="24"/>
      <c r="F81" s="24"/>
      <c r="G81" s="24"/>
      <c r="H81" s="24"/>
      <c r="I81" s="24"/>
      <c r="J81" s="24"/>
      <c r="K81" s="24"/>
      <c r="L81" s="24"/>
    </row>
    <row r="90" spans="2:13">
      <c r="B90" s="1" t="s">
        <v>1607</v>
      </c>
    </row>
    <row r="92" spans="2:13" ht="15.75">
      <c r="B92" s="631" t="s">
        <v>1415</v>
      </c>
      <c r="C92" s="1" t="s">
        <v>1608</v>
      </c>
      <c r="D92" s="26"/>
    </row>
    <row r="94" spans="2:13">
      <c r="E94" s="1" t="s">
        <v>1609</v>
      </c>
    </row>
    <row r="95" spans="2:13">
      <c r="B95" s="165" t="s">
        <v>1610</v>
      </c>
      <c r="C95" s="648">
        <f>SQRT(2)</f>
        <v>1.4142135623730951</v>
      </c>
      <c r="E95" s="649">
        <v>1</v>
      </c>
      <c r="F95" s="632">
        <f>E95*$C95</f>
        <v>1.4142135623730951</v>
      </c>
      <c r="G95" s="632">
        <f t="shared" ref="G95:L95" si="11">F95*$C95</f>
        <v>2.0000000000000004</v>
      </c>
      <c r="H95" s="632">
        <f t="shared" si="11"/>
        <v>2.8284271247461907</v>
      </c>
      <c r="I95" s="632">
        <f t="shared" si="11"/>
        <v>4.0000000000000009</v>
      </c>
      <c r="J95" s="632">
        <f t="shared" si="11"/>
        <v>5.6568542494923815</v>
      </c>
      <c r="K95" s="632">
        <f t="shared" si="11"/>
        <v>8.0000000000000018</v>
      </c>
      <c r="L95" s="632">
        <f t="shared" si="11"/>
        <v>11.313708498984763</v>
      </c>
      <c r="M95" s="632"/>
    </row>
    <row r="96" spans="2:13">
      <c r="B96" s="165" t="s">
        <v>1611</v>
      </c>
      <c r="C96" s="648">
        <f>SQRT(2)^(1/2)</f>
        <v>1.189207115002721</v>
      </c>
      <c r="E96" s="649">
        <v>1</v>
      </c>
      <c r="F96" s="632">
        <f t="shared" ref="F96:L97" si="12">E96*$C96</f>
        <v>1.189207115002721</v>
      </c>
      <c r="G96" s="632">
        <f t="shared" si="12"/>
        <v>1.4142135623730949</v>
      </c>
      <c r="H96" s="632">
        <f t="shared" si="12"/>
        <v>1.6817928305074288</v>
      </c>
      <c r="I96" s="632">
        <f t="shared" si="12"/>
        <v>1.9999999999999996</v>
      </c>
      <c r="J96" s="632">
        <f t="shared" si="12"/>
        <v>2.3784142300054416</v>
      </c>
      <c r="K96" s="632">
        <f t="shared" si="12"/>
        <v>2.8284271247461894</v>
      </c>
      <c r="L96" s="632">
        <f t="shared" si="12"/>
        <v>3.3635856610148571</v>
      </c>
      <c r="M96" s="632"/>
    </row>
    <row r="97" spans="2:13">
      <c r="B97" s="165" t="s">
        <v>1612</v>
      </c>
      <c r="C97" s="648">
        <f>SQRT(2)^(1/3)</f>
        <v>1.122462048309373</v>
      </c>
      <c r="E97" s="649">
        <v>1</v>
      </c>
      <c r="F97" s="632">
        <f t="shared" si="12"/>
        <v>1.122462048309373</v>
      </c>
      <c r="G97" s="632">
        <f t="shared" si="12"/>
        <v>1.2599210498948732</v>
      </c>
      <c r="H97" s="632">
        <f t="shared" si="12"/>
        <v>1.4142135623730951</v>
      </c>
      <c r="I97" s="632">
        <f t="shared" si="12"/>
        <v>1.5874010519681996</v>
      </c>
      <c r="J97" s="632">
        <f t="shared" si="12"/>
        <v>1.7817974362806788</v>
      </c>
      <c r="K97" s="632">
        <f t="shared" si="12"/>
        <v>2.0000000000000004</v>
      </c>
      <c r="L97" s="632">
        <f t="shared" si="12"/>
        <v>2.2449240966187465</v>
      </c>
      <c r="M97" s="632"/>
    </row>
    <row r="98" spans="2:13">
      <c r="E98" s="26"/>
      <c r="F98" s="26"/>
      <c r="G98" s="26"/>
      <c r="H98" s="26"/>
      <c r="I98" s="26"/>
      <c r="J98" s="26"/>
      <c r="K98" s="26"/>
      <c r="L98" s="26"/>
      <c r="M98" s="26"/>
    </row>
    <row r="99" spans="2:13">
      <c r="B99" s="650" t="s">
        <v>1613</v>
      </c>
    </row>
    <row r="100" spans="2:13">
      <c r="B100" s="11"/>
      <c r="C100" s="11"/>
      <c r="D100" s="11"/>
      <c r="E100" s="11"/>
      <c r="F100" s="11"/>
      <c r="G100" s="11"/>
      <c r="H100" s="11"/>
      <c r="I100" s="11"/>
      <c r="J100" s="11"/>
      <c r="K100" s="11"/>
      <c r="L100" s="11"/>
      <c r="M100" s="11"/>
    </row>
    <row r="101" spans="2:13">
      <c r="B101" s="1" t="s">
        <v>1614</v>
      </c>
    </row>
    <row r="103" spans="2:13" ht="15.75">
      <c r="B103" s="631" t="s">
        <v>1615</v>
      </c>
      <c r="C103" s="1" t="s">
        <v>1616</v>
      </c>
    </row>
    <row r="105" spans="2:13">
      <c r="E105" s="1" t="s">
        <v>1617</v>
      </c>
    </row>
    <row r="106" spans="2:13">
      <c r="B106" s="165" t="s">
        <v>1618</v>
      </c>
      <c r="C106" s="648">
        <v>2</v>
      </c>
      <c r="E106" s="649">
        <v>1</v>
      </c>
      <c r="F106" s="632">
        <f>E106/$C106</f>
        <v>0.5</v>
      </c>
      <c r="G106" s="632">
        <f>F106/$C106</f>
        <v>0.25</v>
      </c>
      <c r="H106" s="632">
        <f>G106/$C106</f>
        <v>0.125</v>
      </c>
      <c r="I106" s="632">
        <f>H106/$C106</f>
        <v>6.25E-2</v>
      </c>
      <c r="J106" s="632"/>
      <c r="K106" s="632"/>
      <c r="L106" s="632"/>
      <c r="M106" s="632"/>
    </row>
    <row r="107" spans="2:13">
      <c r="B107" s="165" t="s">
        <v>1619</v>
      </c>
      <c r="C107" s="648">
        <f>2^(1/2)</f>
        <v>1.4142135623730951</v>
      </c>
      <c r="E107" s="649">
        <v>1</v>
      </c>
      <c r="F107" s="632">
        <f t="shared" ref="F107:I108" si="13">E107/$C107</f>
        <v>0.70710678118654746</v>
      </c>
      <c r="G107" s="632">
        <f t="shared" si="13"/>
        <v>0.49999999999999994</v>
      </c>
      <c r="H107" s="632">
        <f t="shared" si="13"/>
        <v>0.35355339059327368</v>
      </c>
      <c r="I107" s="632">
        <f t="shared" si="13"/>
        <v>0.24999999999999992</v>
      </c>
      <c r="J107" s="632"/>
      <c r="K107" s="632"/>
      <c r="L107" s="632"/>
      <c r="M107" s="632"/>
    </row>
    <row r="108" spans="2:13">
      <c r="B108" s="165" t="s">
        <v>1620</v>
      </c>
      <c r="C108" s="648">
        <f>2^(1/3)</f>
        <v>1.2599210498948732</v>
      </c>
      <c r="E108" s="649">
        <v>1</v>
      </c>
      <c r="F108" s="632">
        <f t="shared" si="13"/>
        <v>0.79370052598409968</v>
      </c>
      <c r="G108" s="632">
        <f t="shared" si="13"/>
        <v>0.62996052494743648</v>
      </c>
      <c r="H108" s="632">
        <f t="shared" si="13"/>
        <v>0.49999999999999989</v>
      </c>
      <c r="I108" s="632">
        <f t="shared" si="13"/>
        <v>0.39685026299204978</v>
      </c>
      <c r="J108" s="632"/>
      <c r="K108" s="632"/>
      <c r="L108" s="632"/>
      <c r="M108" s="632"/>
    </row>
    <row r="109" spans="2:13">
      <c r="B109" s="165"/>
      <c r="C109" s="651"/>
      <c r="E109" s="633"/>
      <c r="F109" s="633"/>
      <c r="G109" s="633"/>
      <c r="H109" s="633"/>
      <c r="I109" s="633"/>
    </row>
    <row r="110" spans="2:13">
      <c r="B110" s="650" t="s">
        <v>1621</v>
      </c>
      <c r="E110" s="633"/>
      <c r="F110" s="633"/>
      <c r="G110" s="633"/>
      <c r="H110" s="633"/>
      <c r="I110" s="633"/>
    </row>
    <row r="111" spans="2:13">
      <c r="B111" s="650" t="s">
        <v>1622</v>
      </c>
      <c r="E111" s="633"/>
      <c r="F111" s="633"/>
      <c r="G111" s="633"/>
      <c r="H111" s="633"/>
      <c r="I111" s="633"/>
    </row>
    <row r="112" spans="2:13">
      <c r="B112" s="652"/>
      <c r="C112" s="11"/>
      <c r="D112" s="11"/>
      <c r="E112" s="653"/>
      <c r="F112" s="653"/>
      <c r="G112" s="653"/>
      <c r="H112" s="653"/>
      <c r="I112" s="653"/>
      <c r="J112" s="11"/>
      <c r="K112" s="11"/>
      <c r="L112" s="11"/>
      <c r="M112" s="11"/>
    </row>
    <row r="113" spans="2:13">
      <c r="B113" s="1" t="s">
        <v>1623</v>
      </c>
      <c r="E113" s="633"/>
      <c r="F113" s="633"/>
      <c r="G113" s="633"/>
      <c r="H113" s="633"/>
      <c r="I113" s="633"/>
    </row>
    <row r="114" spans="2:13">
      <c r="B114" s="1" t="s">
        <v>1624</v>
      </c>
      <c r="E114" s="633"/>
      <c r="F114" s="633"/>
      <c r="G114" s="633"/>
      <c r="H114" s="633"/>
      <c r="I114" s="633"/>
    </row>
    <row r="115" spans="2:13">
      <c r="E115" s="633"/>
      <c r="F115" s="633"/>
      <c r="G115" s="633"/>
      <c r="H115" s="633"/>
      <c r="I115" s="633"/>
    </row>
    <row r="116" spans="2:13" ht="15.75">
      <c r="B116" s="631" t="s">
        <v>1625</v>
      </c>
      <c r="C116" s="1" t="s">
        <v>1626</v>
      </c>
      <c r="E116" s="633"/>
      <c r="F116" s="633"/>
      <c r="G116" s="633"/>
      <c r="H116" s="633"/>
      <c r="I116" s="633"/>
    </row>
    <row r="118" spans="2:13">
      <c r="E118" s="1" t="s">
        <v>1627</v>
      </c>
    </row>
    <row r="119" spans="2:13">
      <c r="B119" s="165" t="s">
        <v>1628</v>
      </c>
      <c r="C119" s="648">
        <f>SQRT(2)</f>
        <v>1.4142135623730951</v>
      </c>
      <c r="E119" s="649">
        <v>1</v>
      </c>
      <c r="F119" s="632">
        <f>E119*$C119</f>
        <v>1.4142135623730951</v>
      </c>
      <c r="G119" s="632">
        <f>F119*$C119</f>
        <v>2.0000000000000004</v>
      </c>
      <c r="H119" s="632">
        <f>G119*$C119</f>
        <v>2.8284271247461907</v>
      </c>
      <c r="I119" s="632">
        <f>H119*$C119</f>
        <v>4.0000000000000009</v>
      </c>
      <c r="J119" s="632"/>
      <c r="K119" s="632"/>
      <c r="L119" s="632"/>
      <c r="M119" s="632"/>
    </row>
    <row r="120" spans="2:13">
      <c r="B120" s="165" t="s">
        <v>1629</v>
      </c>
      <c r="C120" s="648">
        <f>SQRT(2)^(1/2)</f>
        <v>1.189207115002721</v>
      </c>
      <c r="E120" s="649">
        <v>1</v>
      </c>
      <c r="F120" s="632">
        <f t="shared" ref="F120:I121" si="14">E120*$C120</f>
        <v>1.189207115002721</v>
      </c>
      <c r="G120" s="632">
        <f t="shared" si="14"/>
        <v>1.4142135623730949</v>
      </c>
      <c r="H120" s="632">
        <f t="shared" si="14"/>
        <v>1.6817928305074288</v>
      </c>
      <c r="I120" s="632">
        <f t="shared" si="14"/>
        <v>1.9999999999999996</v>
      </c>
      <c r="J120" s="632"/>
      <c r="K120" s="632"/>
      <c r="L120" s="632"/>
      <c r="M120" s="632"/>
    </row>
    <row r="121" spans="2:13">
      <c r="B121" s="165" t="s">
        <v>1630</v>
      </c>
      <c r="C121" s="648">
        <f>SQRT(2)^(1/3)</f>
        <v>1.122462048309373</v>
      </c>
      <c r="E121" s="649">
        <v>1</v>
      </c>
      <c r="F121" s="632">
        <f t="shared" si="14"/>
        <v>1.122462048309373</v>
      </c>
      <c r="G121" s="632">
        <f t="shared" si="14"/>
        <v>1.2599210498948732</v>
      </c>
      <c r="H121" s="632">
        <f t="shared" si="14"/>
        <v>1.4142135623730951</v>
      </c>
      <c r="I121" s="632">
        <f t="shared" si="14"/>
        <v>1.5874010519681996</v>
      </c>
      <c r="J121" s="632"/>
      <c r="K121" s="632"/>
      <c r="L121" s="632"/>
      <c r="M121" s="632"/>
    </row>
    <row r="123" spans="2:13">
      <c r="B123" s="650" t="s">
        <v>1631</v>
      </c>
    </row>
    <row r="124" spans="2:13">
      <c r="B124" s="1" t="s">
        <v>1632</v>
      </c>
    </row>
    <row r="125" spans="2:13">
      <c r="B125" s="11"/>
      <c r="C125" s="11"/>
      <c r="D125" s="11"/>
      <c r="E125" s="11"/>
      <c r="F125" s="11"/>
      <c r="G125" s="11"/>
      <c r="H125" s="11"/>
      <c r="I125" s="11"/>
      <c r="J125" s="11"/>
      <c r="K125" s="11"/>
      <c r="L125" s="11"/>
      <c r="M125" s="11"/>
    </row>
    <row r="126" spans="2:13">
      <c r="B126" s="1" t="s">
        <v>1633</v>
      </c>
    </row>
    <row r="128" spans="2:13" ht="15.75">
      <c r="B128" s="631" t="s">
        <v>1634</v>
      </c>
      <c r="C128" s="1" t="s">
        <v>1635</v>
      </c>
    </row>
    <row r="130" spans="2:13">
      <c r="E130" s="1" t="s">
        <v>1636</v>
      </c>
    </row>
    <row r="131" spans="2:13">
      <c r="B131" s="165" t="s">
        <v>1637</v>
      </c>
      <c r="C131" s="648">
        <v>2</v>
      </c>
      <c r="E131" s="654">
        <v>1</v>
      </c>
      <c r="F131" s="651">
        <f>E131/$C131</f>
        <v>0.5</v>
      </c>
      <c r="G131" s="651">
        <f>F131/$C131</f>
        <v>0.25</v>
      </c>
      <c r="H131" s="651">
        <f>G131/$C131</f>
        <v>0.125</v>
      </c>
      <c r="I131" s="651">
        <f>H131/$C131</f>
        <v>6.25E-2</v>
      </c>
      <c r="J131" s="632"/>
      <c r="K131" s="632"/>
      <c r="L131" s="632"/>
      <c r="M131" s="632"/>
    </row>
    <row r="132" spans="2:13">
      <c r="B132" s="165" t="s">
        <v>1638</v>
      </c>
      <c r="C132" s="648">
        <f>2^(1/2)</f>
        <v>1.4142135623730951</v>
      </c>
      <c r="E132" s="654">
        <v>1</v>
      </c>
      <c r="F132" s="651">
        <f t="shared" ref="F132:I133" si="15">E132/$C132</f>
        <v>0.70710678118654746</v>
      </c>
      <c r="G132" s="651">
        <f t="shared" si="15"/>
        <v>0.49999999999999994</v>
      </c>
      <c r="H132" s="651">
        <f t="shared" si="15"/>
        <v>0.35355339059327368</v>
      </c>
      <c r="I132" s="651">
        <f t="shared" si="15"/>
        <v>0.24999999999999992</v>
      </c>
      <c r="J132" s="632"/>
      <c r="K132" s="632"/>
      <c r="L132" s="632"/>
      <c r="M132" s="632"/>
    </row>
    <row r="133" spans="2:13">
      <c r="B133" s="165" t="s">
        <v>1639</v>
      </c>
      <c r="C133" s="648">
        <f>2^(1/3)</f>
        <v>1.2599210498948732</v>
      </c>
      <c r="E133" s="654">
        <v>1</v>
      </c>
      <c r="F133" s="651">
        <f t="shared" si="15"/>
        <v>0.79370052598409968</v>
      </c>
      <c r="G133" s="651">
        <f t="shared" si="15"/>
        <v>0.62996052494743648</v>
      </c>
      <c r="H133" s="651">
        <f t="shared" si="15"/>
        <v>0.49999999999999989</v>
      </c>
      <c r="I133" s="651">
        <f t="shared" si="15"/>
        <v>0.39685026299204978</v>
      </c>
      <c r="J133" s="632"/>
      <c r="K133" s="632"/>
      <c r="L133" s="632"/>
      <c r="M133" s="632"/>
    </row>
    <row r="134" spans="2:13">
      <c r="B134" s="165"/>
      <c r="C134" s="651"/>
      <c r="E134" s="633"/>
      <c r="F134" s="633"/>
      <c r="G134" s="633"/>
      <c r="H134" s="633"/>
      <c r="I134" s="633"/>
    </row>
    <row r="135" spans="2:13">
      <c r="B135" s="650" t="s">
        <v>1640</v>
      </c>
      <c r="E135" s="633"/>
      <c r="F135" s="633"/>
      <c r="G135" s="633"/>
      <c r="H135" s="633"/>
      <c r="I135" s="633"/>
    </row>
    <row r="136" spans="2:13">
      <c r="B136" s="1" t="s">
        <v>1641</v>
      </c>
    </row>
    <row r="139" spans="2:13" s="11" customFormat="1"/>
    <row r="140" spans="2:13" s="8" customFormat="1"/>
    <row r="141" spans="2:13">
      <c r="C141" s="26"/>
      <c r="D141" s="26"/>
      <c r="E141" s="165" t="s">
        <v>1642</v>
      </c>
      <c r="F141" s="26">
        <v>1</v>
      </c>
      <c r="G141" s="26">
        <v>2</v>
      </c>
      <c r="H141" s="26">
        <v>3</v>
      </c>
      <c r="I141" s="26">
        <v>4</v>
      </c>
      <c r="J141" s="26">
        <v>5</v>
      </c>
      <c r="K141" s="26">
        <v>6</v>
      </c>
      <c r="L141" s="26">
        <v>7</v>
      </c>
    </row>
    <row r="142" spans="2:13">
      <c r="B142" s="165" t="s">
        <v>1610</v>
      </c>
      <c r="C142" s="648">
        <f>SQRT(2)</f>
        <v>1.4142135623730951</v>
      </c>
      <c r="E142" s="649">
        <v>1</v>
      </c>
      <c r="F142" s="632">
        <f>E142*$C142</f>
        <v>1.4142135623730951</v>
      </c>
      <c r="G142" s="632">
        <f t="shared" ref="G142:L142" si="16">F142*$C142</f>
        <v>2.0000000000000004</v>
      </c>
      <c r="H142" s="632">
        <f t="shared" si="16"/>
        <v>2.8284271247461907</v>
      </c>
      <c r="I142" s="632">
        <f t="shared" si="16"/>
        <v>4.0000000000000009</v>
      </c>
      <c r="J142" s="632">
        <f t="shared" si="16"/>
        <v>5.6568542494923815</v>
      </c>
      <c r="K142" s="632">
        <f t="shared" si="16"/>
        <v>8.0000000000000018</v>
      </c>
      <c r="L142" s="632">
        <f t="shared" si="16"/>
        <v>11.313708498984763</v>
      </c>
    </row>
    <row r="143" spans="2:13">
      <c r="B143" s="165" t="s">
        <v>1618</v>
      </c>
      <c r="C143" s="648">
        <v>2</v>
      </c>
      <c r="E143" s="649">
        <v>1</v>
      </c>
      <c r="F143" s="632">
        <f>E143/$C143</f>
        <v>0.5</v>
      </c>
      <c r="G143" s="632">
        <f t="shared" ref="G143:L143" si="17">F143/$C143</f>
        <v>0.25</v>
      </c>
      <c r="H143" s="632">
        <f t="shared" si="17"/>
        <v>0.125</v>
      </c>
      <c r="I143" s="632">
        <f t="shared" si="17"/>
        <v>6.25E-2</v>
      </c>
      <c r="J143" s="632">
        <f t="shared" si="17"/>
        <v>3.125E-2</v>
      </c>
      <c r="K143" s="632">
        <f t="shared" si="17"/>
        <v>1.5625E-2</v>
      </c>
      <c r="L143" s="632">
        <f t="shared" si="17"/>
        <v>7.8125E-3</v>
      </c>
    </row>
    <row r="145" spans="2:12">
      <c r="B145" s="165" t="s">
        <v>1643</v>
      </c>
      <c r="E145" s="632"/>
      <c r="F145" s="632">
        <f>SQRT(1/F143)</f>
        <v>1.4142135623730951</v>
      </c>
      <c r="G145" s="632">
        <f t="shared" ref="G145:L145" si="18">SQRT(1/G143)</f>
        <v>2</v>
      </c>
      <c r="H145" s="632">
        <f t="shared" si="18"/>
        <v>2.8284271247461903</v>
      </c>
      <c r="I145" s="632">
        <f t="shared" si="18"/>
        <v>4</v>
      </c>
      <c r="J145" s="632">
        <f t="shared" si="18"/>
        <v>5.6568542494923806</v>
      </c>
      <c r="K145" s="632">
        <f t="shared" si="18"/>
        <v>8</v>
      </c>
      <c r="L145" s="632">
        <f t="shared" si="18"/>
        <v>11.313708498984761</v>
      </c>
    </row>
    <row r="146" spans="2:12">
      <c r="B146" s="165" t="s">
        <v>1644</v>
      </c>
    </row>
    <row r="147" spans="2:12">
      <c r="B147" s="165"/>
    </row>
    <row r="148" spans="2:12">
      <c r="B148" s="165" t="s">
        <v>1645</v>
      </c>
      <c r="E148" s="632"/>
      <c r="F148" s="632">
        <f>SQRT(2^F141)</f>
        <v>1.4142135623730951</v>
      </c>
      <c r="G148" s="632">
        <f t="shared" ref="G148:L148" si="19">(SQRT(2^G141))</f>
        <v>2</v>
      </c>
      <c r="H148" s="632">
        <f t="shared" si="19"/>
        <v>2.8284271247461903</v>
      </c>
      <c r="I148" s="632">
        <f t="shared" si="19"/>
        <v>4</v>
      </c>
      <c r="J148" s="632">
        <f t="shared" si="19"/>
        <v>5.6568542494923806</v>
      </c>
      <c r="K148" s="632">
        <f t="shared" si="19"/>
        <v>8</v>
      </c>
      <c r="L148" s="632">
        <f t="shared" si="19"/>
        <v>11.313708498984761</v>
      </c>
    </row>
    <row r="150" spans="2:12">
      <c r="B150" s="165" t="s">
        <v>1646</v>
      </c>
      <c r="F150" s="632">
        <f>2^(F141/2)</f>
        <v>1.4142135623730951</v>
      </c>
      <c r="G150" s="632">
        <f t="shared" ref="G150:L150" si="20">2^(G141/2)</f>
        <v>2</v>
      </c>
      <c r="H150" s="632">
        <f t="shared" si="20"/>
        <v>2.8284271247461898</v>
      </c>
      <c r="I150" s="632">
        <f t="shared" si="20"/>
        <v>4</v>
      </c>
      <c r="J150" s="632">
        <f t="shared" si="20"/>
        <v>5.6568542494923806</v>
      </c>
      <c r="K150" s="632">
        <f t="shared" si="20"/>
        <v>8</v>
      </c>
      <c r="L150" s="632">
        <f t="shared" si="20"/>
        <v>11.313708498984759</v>
      </c>
    </row>
    <row r="151" spans="2:12" s="11" customFormat="1"/>
    <row r="152" spans="2:12" s="8" customFormat="1"/>
    <row r="153" spans="2:12" s="8" customFormat="1"/>
    <row r="154" spans="2:12" s="8" customFormat="1"/>
    <row r="155" spans="2:12" s="8" customFormat="1">
      <c r="B155" s="1" t="s">
        <v>0</v>
      </c>
    </row>
    <row r="156" spans="2:12" s="8" customFormat="1">
      <c r="B156" s="1"/>
    </row>
    <row r="157" spans="2:12">
      <c r="B157" s="8" t="s">
        <v>1720</v>
      </c>
      <c r="F157" s="655"/>
      <c r="G157" s="655"/>
      <c r="H157" s="655"/>
      <c r="I157" s="655"/>
      <c r="J157" s="655"/>
      <c r="K157" s="655"/>
      <c r="L157" s="655"/>
    </row>
    <row r="158" spans="2:12">
      <c r="B158" s="8" t="s">
        <v>1721</v>
      </c>
      <c r="F158" s="655"/>
      <c r="G158" s="655"/>
      <c r="H158" s="655"/>
      <c r="I158" s="655"/>
      <c r="J158" s="655"/>
      <c r="K158" s="655"/>
      <c r="L158" s="655"/>
    </row>
    <row r="159" spans="2:12">
      <c r="B159" s="8" t="s">
        <v>1724</v>
      </c>
      <c r="F159" s="655"/>
      <c r="G159" s="655"/>
      <c r="H159" s="655"/>
      <c r="I159" s="655"/>
      <c r="J159" s="655"/>
      <c r="K159" s="655"/>
      <c r="L159" s="655"/>
    </row>
    <row r="160" spans="2:12">
      <c r="F160" s="655"/>
      <c r="G160" s="655"/>
      <c r="H160" s="655"/>
      <c r="I160" s="655"/>
      <c r="J160" s="655"/>
      <c r="K160" s="655"/>
      <c r="L160" s="655"/>
    </row>
    <row r="161" spans="2:18">
      <c r="B161" s="234" t="s">
        <v>1726</v>
      </c>
      <c r="C161" s="465">
        <v>100</v>
      </c>
      <c r="D161" s="1" t="s">
        <v>459</v>
      </c>
    </row>
    <row r="162" spans="2:18">
      <c r="B162" s="234" t="s">
        <v>1728</v>
      </c>
      <c r="C162" s="465">
        <v>2</v>
      </c>
    </row>
    <row r="163" spans="2:18">
      <c r="B163" s="165" t="s">
        <v>1727</v>
      </c>
      <c r="C163" s="465">
        <v>0.5</v>
      </c>
    </row>
    <row r="164" spans="2:18">
      <c r="B164" s="165"/>
    </row>
    <row r="165" spans="2:18">
      <c r="B165" s="165" t="s">
        <v>1731</v>
      </c>
      <c r="C165" s="292">
        <f>C161/C162^(C163)</f>
        <v>70.710678118654741</v>
      </c>
    </row>
    <row r="167" spans="2:18">
      <c r="B167" s="234" t="s">
        <v>1732</v>
      </c>
      <c r="C167" s="292">
        <f>$C$161/$C$162^(1/3)</f>
        <v>79.37005259840997</v>
      </c>
      <c r="E167" s="8" t="s">
        <v>1723</v>
      </c>
    </row>
    <row r="168" spans="2:18">
      <c r="B168" s="234" t="s">
        <v>1729</v>
      </c>
      <c r="C168" s="292">
        <f>$C$161/$C$162^(1/2)</f>
        <v>70.710678118654741</v>
      </c>
      <c r="E168" s="8" t="s">
        <v>1722</v>
      </c>
    </row>
    <row r="169" spans="2:18">
      <c r="B169" s="234" t="s">
        <v>1730</v>
      </c>
      <c r="C169" s="292">
        <f>$C$161/$C$162^(1/1)</f>
        <v>50</v>
      </c>
      <c r="E169" s="8" t="s">
        <v>1725</v>
      </c>
    </row>
    <row r="170" spans="2:18">
      <c r="B170" s="234"/>
      <c r="C170" s="292"/>
    </row>
    <row r="171" spans="2:18">
      <c r="B171" s="8"/>
      <c r="C171" s="292"/>
    </row>
    <row r="172" spans="2:18">
      <c r="B172" s="1" t="s">
        <v>0</v>
      </c>
      <c r="D172" s="26"/>
    </row>
    <row r="173" spans="2:18">
      <c r="D173" s="26"/>
      <c r="G173" s="1" t="s">
        <v>1647</v>
      </c>
    </row>
    <row r="174" spans="2:18">
      <c r="B174" s="292" t="s">
        <v>1648</v>
      </c>
      <c r="G174" s="1" t="s">
        <v>1458</v>
      </c>
      <c r="H174" s="632">
        <v>1</v>
      </c>
      <c r="I174" s="632">
        <f t="shared" ref="I174:N174" si="21">H174*SQRT(2)</f>
        <v>1.4142135623730951</v>
      </c>
      <c r="J174" s="632">
        <f t="shared" si="21"/>
        <v>2.0000000000000004</v>
      </c>
      <c r="K174" s="632">
        <f t="shared" si="21"/>
        <v>2.8284271247461907</v>
      </c>
      <c r="L174" s="632">
        <f t="shared" si="21"/>
        <v>4.0000000000000009</v>
      </c>
      <c r="M174" s="632">
        <f t="shared" si="21"/>
        <v>5.6568542494923815</v>
      </c>
      <c r="N174" s="632">
        <f t="shared" si="21"/>
        <v>8.0000000000000018</v>
      </c>
      <c r="O174" s="26"/>
      <c r="P174" s="26"/>
      <c r="Q174" s="26"/>
      <c r="R174" s="26"/>
    </row>
    <row r="175" spans="2:18">
      <c r="B175" s="292" t="s">
        <v>1649</v>
      </c>
      <c r="G175" s="1" t="s">
        <v>1650</v>
      </c>
      <c r="H175" s="656">
        <v>1</v>
      </c>
      <c r="I175" s="656">
        <f t="shared" ref="I175:N175" si="22">$H175/I174^2</f>
        <v>0.49999999999999989</v>
      </c>
      <c r="J175" s="656">
        <f t="shared" si="22"/>
        <v>0.24999999999999989</v>
      </c>
      <c r="K175" s="656">
        <f t="shared" si="22"/>
        <v>0.12499999999999994</v>
      </c>
      <c r="L175" s="656">
        <f t="shared" si="22"/>
        <v>6.2499999999999972E-2</v>
      </c>
      <c r="M175" s="656">
        <f t="shared" si="22"/>
        <v>3.1249999999999986E-2</v>
      </c>
      <c r="N175" s="656">
        <f t="shared" si="22"/>
        <v>1.5624999999999993E-2</v>
      </c>
    </row>
    <row r="179" spans="7:11">
      <c r="G179" s="26"/>
      <c r="H179" s="26"/>
      <c r="I179" s="26"/>
      <c r="J179" s="26"/>
      <c r="K179" s="26"/>
    </row>
    <row r="180" spans="7:11">
      <c r="G180" s="657"/>
      <c r="H180" s="657"/>
      <c r="I180" s="657"/>
      <c r="J180" s="657"/>
      <c r="K180" s="657"/>
    </row>
    <row r="181" spans="7:11">
      <c r="G181" s="26"/>
      <c r="H181" s="26"/>
      <c r="I181" s="26"/>
      <c r="J181" s="26"/>
      <c r="K181" s="26"/>
    </row>
    <row r="182" spans="7:11">
      <c r="G182" s="26"/>
      <c r="H182" s="26"/>
      <c r="I182" s="26"/>
      <c r="J182" s="26"/>
      <c r="K182" s="26"/>
    </row>
    <row r="198" spans="6:15">
      <c r="F198" s="248" t="s">
        <v>1651</v>
      </c>
    </row>
    <row r="199" spans="6:15">
      <c r="F199" s="26"/>
      <c r="H199" s="26"/>
      <c r="I199" s="648"/>
      <c r="J199" s="648"/>
      <c r="K199" s="648"/>
      <c r="L199" s="648"/>
    </row>
    <row r="200" spans="6:15">
      <c r="F200" s="26">
        <f>SQRT(2)^(1/3)</f>
        <v>1.122462048309373</v>
      </c>
      <c r="G200" s="1" t="s">
        <v>1458</v>
      </c>
      <c r="H200" s="658">
        <v>1</v>
      </c>
      <c r="I200" s="648">
        <f t="shared" ref="I200:O200" si="23">H200*$F200</f>
        <v>1.122462048309373</v>
      </c>
      <c r="J200" s="648">
        <f t="shared" si="23"/>
        <v>1.2599210498948732</v>
      </c>
      <c r="K200" s="648">
        <f t="shared" si="23"/>
        <v>1.4142135623730951</v>
      </c>
      <c r="L200" s="648">
        <f t="shared" si="23"/>
        <v>1.5874010519681996</v>
      </c>
      <c r="M200" s="648">
        <f t="shared" si="23"/>
        <v>1.7817974362806788</v>
      </c>
      <c r="N200" s="648">
        <f t="shared" si="23"/>
        <v>2.0000000000000004</v>
      </c>
      <c r="O200" s="648">
        <f t="shared" si="23"/>
        <v>2.2449240966187465</v>
      </c>
    </row>
    <row r="201" spans="6:15">
      <c r="F201" s="26">
        <f>2^(1/3)</f>
        <v>1.2599210498948732</v>
      </c>
      <c r="G201" s="1" t="s">
        <v>1650</v>
      </c>
      <c r="H201" s="659">
        <v>1</v>
      </c>
      <c r="I201" s="660">
        <f t="shared" ref="I201:O201" si="24">H201/$F201</f>
        <v>0.79370052598409968</v>
      </c>
      <c r="J201" s="660">
        <f t="shared" si="24"/>
        <v>0.62996052494743648</v>
      </c>
      <c r="K201" s="660">
        <f t="shared" si="24"/>
        <v>0.49999999999999989</v>
      </c>
      <c r="L201" s="660">
        <f t="shared" si="24"/>
        <v>0.39685026299204978</v>
      </c>
      <c r="M201" s="660">
        <f t="shared" si="24"/>
        <v>0.31498026247371824</v>
      </c>
      <c r="N201" s="660">
        <f t="shared" si="24"/>
        <v>0.24999999999999994</v>
      </c>
      <c r="O201" s="660">
        <f t="shared" si="24"/>
        <v>0.19842513149602489</v>
      </c>
    </row>
    <row r="203" spans="6:15">
      <c r="G203" s="1" t="s">
        <v>1652</v>
      </c>
    </row>
    <row r="206" spans="6:15">
      <c r="F206" s="248" t="s">
        <v>1653</v>
      </c>
    </row>
    <row r="207" spans="6:15">
      <c r="F207" s="26"/>
      <c r="H207" s="26"/>
    </row>
    <row r="208" spans="6:15">
      <c r="F208" s="26">
        <f>SQRT(2)^(1/2)</f>
        <v>1.189207115002721</v>
      </c>
      <c r="G208" s="1" t="s">
        <v>1458</v>
      </c>
      <c r="H208" s="658">
        <v>1</v>
      </c>
      <c r="I208" s="648">
        <f>H208*$F208</f>
        <v>1.189207115002721</v>
      </c>
      <c r="J208" s="648">
        <f t="shared" ref="J208:O208" si="25">I208*$F208</f>
        <v>1.4142135623730949</v>
      </c>
      <c r="K208" s="648">
        <f t="shared" si="25"/>
        <v>1.6817928305074288</v>
      </c>
      <c r="L208" s="648">
        <f t="shared" si="25"/>
        <v>1.9999999999999996</v>
      </c>
      <c r="M208" s="648">
        <f t="shared" si="25"/>
        <v>2.3784142300054416</v>
      </c>
      <c r="N208" s="648">
        <f t="shared" si="25"/>
        <v>2.8284271247461894</v>
      </c>
      <c r="O208" s="648">
        <f t="shared" si="25"/>
        <v>3.3635856610148571</v>
      </c>
    </row>
    <row r="209" spans="6:15">
      <c r="F209" s="26">
        <f>2^(1/2)</f>
        <v>1.4142135623730951</v>
      </c>
      <c r="G209" s="1" t="s">
        <v>1650</v>
      </c>
      <c r="H209" s="658">
        <v>1</v>
      </c>
      <c r="I209" s="648">
        <f>H209/$F209</f>
        <v>0.70710678118654746</v>
      </c>
      <c r="J209" s="648">
        <f t="shared" ref="J209:O209" si="26">I209/$F209</f>
        <v>0.49999999999999994</v>
      </c>
      <c r="K209" s="648">
        <f t="shared" si="26"/>
        <v>0.35355339059327368</v>
      </c>
      <c r="L209" s="648">
        <f t="shared" si="26"/>
        <v>0.24999999999999992</v>
      </c>
      <c r="M209" s="648">
        <f>L209/$F209</f>
        <v>0.17677669529663681</v>
      </c>
      <c r="N209" s="648">
        <f t="shared" si="26"/>
        <v>0.12499999999999994</v>
      </c>
      <c r="O209" s="648">
        <f t="shared" si="26"/>
        <v>8.8388347648318391E-2</v>
      </c>
    </row>
    <row r="248" spans="2:4" ht="15.75">
      <c r="B248" s="676" t="s">
        <v>1693</v>
      </c>
    </row>
    <row r="249" spans="2:4">
      <c r="B249" s="1" t="s">
        <v>1709</v>
      </c>
    </row>
    <row r="250" spans="2:4" ht="15.75">
      <c r="B250" s="676"/>
    </row>
    <row r="251" spans="2:4" ht="15">
      <c r="B251" s="634" t="s">
        <v>1714</v>
      </c>
    </row>
    <row r="252" spans="2:4" ht="15">
      <c r="B252" s="634" t="s">
        <v>1700</v>
      </c>
    </row>
    <row r="253" spans="2:4" ht="15">
      <c r="B253" s="634" t="s">
        <v>1701</v>
      </c>
    </row>
    <row r="254" spans="2:4" ht="15">
      <c r="B254" s="634"/>
    </row>
    <row r="255" spans="2:4" ht="15">
      <c r="B255" s="642" t="s">
        <v>1705</v>
      </c>
      <c r="C255" s="465">
        <f>1/60</f>
        <v>1.6666666666666666E-2</v>
      </c>
      <c r="D255" s="1" t="str">
        <f>"entspricht 1/"&amp;1/C255</f>
        <v>entspricht 1/60</v>
      </c>
    </row>
    <row r="256" spans="2:4" ht="15">
      <c r="B256" s="642" t="s">
        <v>1704</v>
      </c>
      <c r="C256" s="465">
        <v>4</v>
      </c>
    </row>
    <row r="257" spans="2:9" ht="15">
      <c r="B257" s="642" t="s">
        <v>1703</v>
      </c>
      <c r="C257" s="465">
        <v>200</v>
      </c>
    </row>
    <row r="258" spans="2:9" ht="15">
      <c r="B258" s="642" t="s">
        <v>1702</v>
      </c>
      <c r="C258" s="465">
        <v>3.5</v>
      </c>
    </row>
    <row r="259" spans="2:9">
      <c r="H259" s="519" t="s">
        <v>1716</v>
      </c>
    </row>
    <row r="260" spans="2:9" ht="15">
      <c r="B260" s="642" t="s">
        <v>1715</v>
      </c>
      <c r="C260" s="292">
        <f>LOG(C258)/LOG(2)</f>
        <v>1.8073549220576042</v>
      </c>
      <c r="E260" s="1" t="s">
        <v>1710</v>
      </c>
      <c r="H260" s="1" t="s">
        <v>1673</v>
      </c>
    </row>
    <row r="261" spans="2:9" ht="15">
      <c r="B261" s="642" t="s">
        <v>1708</v>
      </c>
      <c r="C261" s="679">
        <f>C255*C258</f>
        <v>5.8333333333333334E-2</v>
      </c>
      <c r="D261" s="1" t="str">
        <f>"entspricht 1/" &amp; ROUND(1/C261,0)</f>
        <v>entspricht 1/17</v>
      </c>
      <c r="E261" s="1" t="s">
        <v>1711</v>
      </c>
    </row>
    <row r="262" spans="2:9" ht="15">
      <c r="B262" s="642" t="s">
        <v>1706</v>
      </c>
      <c r="C262" s="292">
        <f>C256/SQRT(C258)</f>
        <v>2.1380899352993952</v>
      </c>
      <c r="E262" s="1" t="s">
        <v>1712</v>
      </c>
      <c r="H262" s="1" t="s">
        <v>1717</v>
      </c>
    </row>
    <row r="263" spans="2:9" ht="15">
      <c r="B263" s="642" t="s">
        <v>1707</v>
      </c>
      <c r="C263" s="1">
        <f>C257*C258</f>
        <v>700</v>
      </c>
      <c r="E263" s="1" t="s">
        <v>1713</v>
      </c>
      <c r="H263" s="1" t="s">
        <v>1718</v>
      </c>
    </row>
    <row r="265" spans="2:9" ht="15">
      <c r="B265" s="642"/>
    </row>
    <row r="267" spans="2:9">
      <c r="B267" s="248" t="s">
        <v>1719</v>
      </c>
      <c r="C267" s="519" t="s">
        <v>1671</v>
      </c>
      <c r="E267" s="26"/>
      <c r="H267" s="26"/>
      <c r="I267" s="26"/>
    </row>
    <row r="268" spans="2:9">
      <c r="B268" s="26"/>
      <c r="D268" s="26"/>
      <c r="E268" s="26"/>
      <c r="H268" s="26"/>
      <c r="I268" s="26"/>
    </row>
    <row r="269" spans="2:9" ht="18">
      <c r="B269" s="26"/>
      <c r="C269" s="165" t="s">
        <v>1448</v>
      </c>
      <c r="D269" s="674" t="s">
        <v>1672</v>
      </c>
      <c r="E269" s="26"/>
      <c r="H269" s="26"/>
      <c r="I269" s="26"/>
    </row>
    <row r="270" spans="2:9">
      <c r="B270" s="26"/>
      <c r="C270" s="26"/>
      <c r="E270" s="26"/>
      <c r="H270" s="26"/>
      <c r="I270" s="26"/>
    </row>
    <row r="271" spans="2:9">
      <c r="B271" s="26"/>
      <c r="C271" s="26"/>
      <c r="D271" s="2" t="s">
        <v>1673</v>
      </c>
      <c r="E271" s="26"/>
      <c r="H271" s="26"/>
      <c r="I271" s="26"/>
    </row>
    <row r="272" spans="2:9">
      <c r="B272" s="26"/>
      <c r="C272" s="26"/>
      <c r="E272" s="26"/>
      <c r="H272" s="26"/>
      <c r="I272" s="26"/>
    </row>
    <row r="273" spans="2:9">
      <c r="B273" s="26"/>
      <c r="C273" s="26"/>
      <c r="D273" s="1" t="s">
        <v>1674</v>
      </c>
      <c r="E273" s="26"/>
      <c r="H273" s="26"/>
      <c r="I273" s="26"/>
    </row>
    <row r="274" spans="2:9" ht="21">
      <c r="B274" s="26"/>
      <c r="C274" s="26"/>
      <c r="D274" s="675" t="s">
        <v>1675</v>
      </c>
      <c r="E274" s="26"/>
      <c r="H274" s="26"/>
      <c r="I274" s="26"/>
    </row>
    <row r="275" spans="2:9" ht="18">
      <c r="B275" s="26"/>
      <c r="C275" s="26"/>
      <c r="D275" s="675" t="s">
        <v>1676</v>
      </c>
      <c r="E275" s="26"/>
      <c r="H275" s="26"/>
      <c r="I275" s="26"/>
    </row>
    <row r="276" spans="2:9">
      <c r="B276" s="26"/>
      <c r="C276" s="26"/>
      <c r="E276" s="26"/>
      <c r="H276" s="26"/>
      <c r="I276" s="26"/>
    </row>
    <row r="277" spans="2:9">
      <c r="B277" s="26"/>
      <c r="C277" s="26"/>
      <c r="D277" s="1" t="s">
        <v>1677</v>
      </c>
      <c r="E277" s="26"/>
      <c r="H277" s="26"/>
      <c r="I277" s="26"/>
    </row>
    <row r="278" spans="2:9">
      <c r="B278" s="26"/>
      <c r="C278" s="26"/>
      <c r="D278" s="1" t="s">
        <v>1678</v>
      </c>
      <c r="E278" s="26"/>
      <c r="H278" s="26"/>
      <c r="I278" s="26"/>
    </row>
    <row r="279" spans="2:9">
      <c r="B279" s="26"/>
      <c r="C279" s="26"/>
      <c r="D279" s="1" t="s">
        <v>1679</v>
      </c>
      <c r="E279" s="26"/>
      <c r="H279" s="26"/>
      <c r="I279" s="26"/>
    </row>
    <row r="280" spans="2:9">
      <c r="C280" s="26"/>
      <c r="D280" s="26"/>
      <c r="E280" s="26"/>
      <c r="G280" s="26"/>
      <c r="H280" s="26"/>
      <c r="I280" s="26"/>
    </row>
    <row r="281" spans="2:9" ht="15">
      <c r="B281" s="677" t="s">
        <v>1680</v>
      </c>
    </row>
    <row r="284" spans="2:9">
      <c r="B284" s="165" t="s">
        <v>1694</v>
      </c>
      <c r="D284" s="26" t="s">
        <v>1681</v>
      </c>
      <c r="E284" s="26" t="s">
        <v>1682</v>
      </c>
      <c r="F284" s="26" t="s">
        <v>1680</v>
      </c>
      <c r="G284" s="26" t="s">
        <v>1683</v>
      </c>
    </row>
    <row r="285" spans="2:9">
      <c r="B285" s="165"/>
      <c r="D285" s="26"/>
      <c r="E285" s="26" t="s">
        <v>1684</v>
      </c>
      <c r="F285" s="26"/>
      <c r="G285" s="26"/>
    </row>
    <row r="286" spans="2:9">
      <c r="B286" s="165"/>
      <c r="F286" s="26"/>
      <c r="G286" s="26"/>
    </row>
    <row r="287" spans="2:9">
      <c r="B287" s="165"/>
      <c r="D287" s="26">
        <v>1</v>
      </c>
      <c r="E287" s="26" t="s">
        <v>1685</v>
      </c>
      <c r="F287" s="26">
        <v>0</v>
      </c>
      <c r="G287" s="26">
        <f>LOG10(D287)</f>
        <v>0</v>
      </c>
    </row>
    <row r="288" spans="2:9">
      <c r="B288" s="165"/>
      <c r="D288" s="26">
        <v>10</v>
      </c>
      <c r="E288" s="26" t="s">
        <v>1686</v>
      </c>
      <c r="F288" s="26">
        <v>1</v>
      </c>
      <c r="G288" s="26">
        <f>LOG10(D288)</f>
        <v>1</v>
      </c>
    </row>
    <row r="289" spans="2:7">
      <c r="B289" s="165"/>
      <c r="D289" s="26">
        <v>100</v>
      </c>
      <c r="E289" s="26" t="s">
        <v>1687</v>
      </c>
      <c r="F289" s="26">
        <v>2</v>
      </c>
      <c r="G289" s="26">
        <f>LOG10(D289)</f>
        <v>2</v>
      </c>
    </row>
    <row r="290" spans="2:7">
      <c r="B290" s="165"/>
      <c r="D290" s="26">
        <v>1000</v>
      </c>
      <c r="E290" s="26" t="s">
        <v>1688</v>
      </c>
      <c r="F290" s="26">
        <v>3</v>
      </c>
      <c r="G290" s="26">
        <f>LOG10(D290)</f>
        <v>3</v>
      </c>
    </row>
    <row r="291" spans="2:7">
      <c r="B291" s="165"/>
      <c r="D291" s="26">
        <v>10000</v>
      </c>
      <c r="E291" s="26" t="s">
        <v>1689</v>
      </c>
      <c r="F291" s="26">
        <v>4</v>
      </c>
      <c r="G291" s="26">
        <f>LOG10(D291)</f>
        <v>4</v>
      </c>
    </row>
    <row r="292" spans="2:7">
      <c r="B292" s="165"/>
      <c r="D292" s="26"/>
      <c r="E292" s="26"/>
      <c r="F292" s="26"/>
      <c r="G292" s="26"/>
    </row>
    <row r="293" spans="2:7">
      <c r="B293" s="165"/>
      <c r="D293" s="26"/>
      <c r="E293" s="26"/>
      <c r="F293" s="26"/>
      <c r="G293" s="26"/>
    </row>
    <row r="294" spans="2:7">
      <c r="B294" s="165"/>
      <c r="D294" s="26">
        <v>56</v>
      </c>
      <c r="E294" s="26" t="s">
        <v>1690</v>
      </c>
      <c r="F294" s="26" t="s">
        <v>1454</v>
      </c>
      <c r="G294" s="632">
        <f>LOG10(D294)</f>
        <v>1.7481880270062005</v>
      </c>
    </row>
    <row r="295" spans="2:7">
      <c r="B295" s="165"/>
      <c r="D295" s="26"/>
      <c r="E295" s="26"/>
      <c r="F295" s="26"/>
    </row>
    <row r="296" spans="2:7">
      <c r="B296" s="1" t="s">
        <v>1695</v>
      </c>
      <c r="D296" s="651">
        <f>10^2.36</f>
        <v>229.08676527677744</v>
      </c>
      <c r="E296" s="26" t="s">
        <v>1691</v>
      </c>
      <c r="G296" s="26">
        <v>2.36</v>
      </c>
    </row>
    <row r="297" spans="2:7">
      <c r="D297" s="26"/>
      <c r="E297" s="26"/>
    </row>
    <row r="298" spans="2:7">
      <c r="D298" s="651">
        <f>10^3.12</f>
        <v>1318.2567385564089</v>
      </c>
      <c r="E298" s="26" t="s">
        <v>1692</v>
      </c>
      <c r="G298" s="26">
        <v>3.12</v>
      </c>
    </row>
    <row r="300" spans="2:7">
      <c r="B300" s="165" t="s">
        <v>1696</v>
      </c>
      <c r="D300" s="26">
        <v>1</v>
      </c>
      <c r="G300" s="77">
        <f>LOG(D300)</f>
        <v>0</v>
      </c>
    </row>
    <row r="301" spans="2:7">
      <c r="B301" s="165"/>
      <c r="D301" s="26">
        <v>2</v>
      </c>
      <c r="G301" s="77">
        <f t="shared" ref="G301:G307" si="27">LOG(D301)</f>
        <v>0.3010299956639812</v>
      </c>
    </row>
    <row r="302" spans="2:7">
      <c r="B302" s="165"/>
      <c r="D302" s="26">
        <v>4</v>
      </c>
      <c r="G302" s="77">
        <f t="shared" si="27"/>
        <v>0.6020599913279624</v>
      </c>
    </row>
    <row r="303" spans="2:7">
      <c r="B303" s="165"/>
      <c r="D303" s="26">
        <v>8</v>
      </c>
      <c r="G303" s="77">
        <f t="shared" si="27"/>
        <v>0.90308998699194354</v>
      </c>
    </row>
    <row r="304" spans="2:7">
      <c r="B304" s="165"/>
      <c r="D304" s="26">
        <v>16</v>
      </c>
      <c r="G304" s="77">
        <f t="shared" si="27"/>
        <v>1.2041199826559248</v>
      </c>
    </row>
    <row r="305" spans="2:7">
      <c r="B305" s="165"/>
      <c r="D305" s="26">
        <v>32</v>
      </c>
      <c r="G305" s="77">
        <f t="shared" si="27"/>
        <v>1.505149978319906</v>
      </c>
    </row>
    <row r="306" spans="2:7">
      <c r="B306" s="165"/>
      <c r="D306" s="26">
        <v>64</v>
      </c>
      <c r="G306" s="77">
        <f t="shared" si="27"/>
        <v>1.8061799739838871</v>
      </c>
    </row>
    <row r="307" spans="2:7">
      <c r="B307" s="165"/>
      <c r="D307" s="26">
        <v>128</v>
      </c>
      <c r="G307" s="77">
        <f t="shared" si="27"/>
        <v>2.1072099696478683</v>
      </c>
    </row>
    <row r="308" spans="2:7">
      <c r="B308" s="165"/>
    </row>
    <row r="309" spans="2:7">
      <c r="B309" s="165"/>
      <c r="D309" s="1" t="s">
        <v>1697</v>
      </c>
    </row>
    <row r="310" spans="2:7">
      <c r="B310" s="165"/>
      <c r="D310" s="1" t="s">
        <v>1698</v>
      </c>
    </row>
    <row r="311" spans="2:7">
      <c r="B311" s="165"/>
      <c r="D311" s="1" t="s">
        <v>1699</v>
      </c>
    </row>
    <row r="312" spans="2:7">
      <c r="B312" s="165"/>
    </row>
    <row r="313" spans="2:7">
      <c r="B313" s="165"/>
      <c r="D313" s="326">
        <v>23</v>
      </c>
      <c r="G313" s="364">
        <f>LOG10(D313)</f>
        <v>1.3617278360175928</v>
      </c>
    </row>
    <row r="314" spans="2:7">
      <c r="B314" s="165"/>
      <c r="D314" s="1">
        <f>D313*2</f>
        <v>46</v>
      </c>
      <c r="G314" s="364">
        <f t="shared" ref="G314:G321" si="28">LOG10(D314)</f>
        <v>1.6627578316815741</v>
      </c>
    </row>
    <row r="315" spans="2:7">
      <c r="B315" s="165"/>
      <c r="D315" s="1">
        <f t="shared" ref="D315:D322" si="29">D314*2</f>
        <v>92</v>
      </c>
      <c r="G315" s="364">
        <f t="shared" si="28"/>
        <v>1.9637878273455553</v>
      </c>
    </row>
    <row r="316" spans="2:7">
      <c r="B316" s="165"/>
      <c r="D316" s="1">
        <f t="shared" si="29"/>
        <v>184</v>
      </c>
      <c r="G316" s="364">
        <f t="shared" si="28"/>
        <v>2.2648178230095364</v>
      </c>
    </row>
    <row r="317" spans="2:7">
      <c r="B317" s="165"/>
      <c r="D317" s="1">
        <f t="shared" si="29"/>
        <v>368</v>
      </c>
      <c r="G317" s="364">
        <f t="shared" si="28"/>
        <v>2.5658478186735176</v>
      </c>
    </row>
    <row r="318" spans="2:7">
      <c r="B318" s="165"/>
      <c r="D318" s="1">
        <f t="shared" si="29"/>
        <v>736</v>
      </c>
      <c r="G318" s="364">
        <f t="shared" si="28"/>
        <v>2.8668778143374989</v>
      </c>
    </row>
    <row r="319" spans="2:7">
      <c r="B319" s="165"/>
      <c r="D319" s="1">
        <f t="shared" si="29"/>
        <v>1472</v>
      </c>
      <c r="G319" s="364">
        <f t="shared" si="28"/>
        <v>3.1679078100014801</v>
      </c>
    </row>
    <row r="320" spans="2:7">
      <c r="B320" s="165"/>
      <c r="D320" s="1">
        <f t="shared" si="29"/>
        <v>2944</v>
      </c>
      <c r="G320" s="364">
        <f t="shared" si="28"/>
        <v>3.4689378056654614</v>
      </c>
    </row>
    <row r="321" spans="2:13">
      <c r="B321" s="165"/>
      <c r="D321" s="1">
        <f t="shared" si="29"/>
        <v>5888</v>
      </c>
      <c r="G321" s="364">
        <f t="shared" si="28"/>
        <v>3.7699678013294426</v>
      </c>
    </row>
    <row r="322" spans="2:13">
      <c r="D322" s="1">
        <f t="shared" si="29"/>
        <v>11776</v>
      </c>
      <c r="G322" s="364">
        <f>LOG10(D322)</f>
        <v>4.0709977969934235</v>
      </c>
    </row>
    <row r="328" spans="2:13">
      <c r="B328" s="165" t="s">
        <v>3159</v>
      </c>
      <c r="C328" s="1" t="s">
        <v>1796</v>
      </c>
    </row>
    <row r="329" spans="2:13">
      <c r="C329" s="1" t="s">
        <v>1797</v>
      </c>
    </row>
    <row r="332" spans="2:13">
      <c r="C332" s="688"/>
      <c r="D332" s="1" t="s">
        <v>495</v>
      </c>
    </row>
    <row r="334" spans="2:13">
      <c r="B334" s="8"/>
      <c r="C334" s="11"/>
      <c r="D334" s="11"/>
      <c r="E334" s="11"/>
      <c r="F334" s="11"/>
      <c r="G334" s="11"/>
      <c r="H334" s="11"/>
      <c r="I334" s="11"/>
      <c r="J334" s="11"/>
      <c r="K334" s="11"/>
      <c r="L334" s="11"/>
      <c r="M334" s="11"/>
    </row>
    <row r="335" spans="2:13">
      <c r="C335" s="2" t="s">
        <v>1798</v>
      </c>
    </row>
    <row r="337" spans="2:15">
      <c r="C337" s="165" t="s">
        <v>1799</v>
      </c>
      <c r="D337" s="689">
        <v>100</v>
      </c>
    </row>
    <row r="338" spans="2:15">
      <c r="C338" s="165" t="s">
        <v>1704</v>
      </c>
      <c r="D338" s="689">
        <v>11</v>
      </c>
    </row>
    <row r="339" spans="2:15">
      <c r="C339" s="165" t="s">
        <v>1800</v>
      </c>
      <c r="D339" s="689">
        <v>125</v>
      </c>
    </row>
    <row r="340" spans="2:15">
      <c r="B340" s="8"/>
      <c r="C340" s="11"/>
      <c r="D340" s="11"/>
      <c r="E340" s="11"/>
      <c r="F340" s="11"/>
      <c r="G340" s="11"/>
      <c r="H340" s="11"/>
      <c r="I340" s="11"/>
      <c r="J340" s="11"/>
      <c r="K340" s="11"/>
      <c r="L340" s="11"/>
      <c r="M340" s="11"/>
    </row>
    <row r="341" spans="2:15">
      <c r="B341" s="8"/>
      <c r="C341" s="278" t="s">
        <v>1801</v>
      </c>
      <c r="D341" s="8"/>
      <c r="E341" s="8" t="s">
        <v>1802</v>
      </c>
      <c r="F341" s="8"/>
      <c r="G341" s="8"/>
      <c r="H341" s="8" t="s">
        <v>1803</v>
      </c>
      <c r="I341" s="8"/>
      <c r="J341" s="8"/>
      <c r="K341" s="8" t="s">
        <v>1804</v>
      </c>
      <c r="L341" s="8"/>
      <c r="M341" s="8"/>
    </row>
    <row r="342" spans="2:15">
      <c r="C342" s="243"/>
      <c r="G342" s="8"/>
    </row>
    <row r="343" spans="2:15" ht="14.25" customHeight="1">
      <c r="C343" s="243"/>
      <c r="D343" s="165" t="s">
        <v>1659</v>
      </c>
      <c r="G343" s="8"/>
      <c r="M343" s="287" t="s">
        <v>124</v>
      </c>
    </row>
    <row r="344" spans="2:15" ht="19.5" customHeight="1">
      <c r="C344" s="243"/>
      <c r="D344" s="165" t="s">
        <v>1805</v>
      </c>
      <c r="E344" s="690">
        <v>15</v>
      </c>
      <c r="F344" s="690">
        <v>14</v>
      </c>
      <c r="G344" s="8"/>
      <c r="K344" s="690">
        <v>7</v>
      </c>
      <c r="L344" s="690">
        <v>6</v>
      </c>
      <c r="M344" s="287" t="s">
        <v>1806</v>
      </c>
    </row>
    <row r="345" spans="2:15">
      <c r="C345" s="165" t="s">
        <v>1799</v>
      </c>
      <c r="D345" s="166">
        <f>D337</f>
        <v>100</v>
      </c>
      <c r="E345" s="691">
        <v>800</v>
      </c>
      <c r="F345" s="691">
        <v>200</v>
      </c>
      <c r="G345" s="692"/>
      <c r="H345" s="691">
        <v>400</v>
      </c>
      <c r="I345" s="691">
        <v>100</v>
      </c>
      <c r="K345" s="693">
        <f>D345/K353</f>
        <v>211.57024793388439</v>
      </c>
      <c r="L345" s="693">
        <f>D345/L353</f>
        <v>211.57024793388445</v>
      </c>
      <c r="O345" s="694" t="s">
        <v>1415</v>
      </c>
    </row>
    <row r="346" spans="2:15">
      <c r="C346" s="165" t="s">
        <v>1704</v>
      </c>
      <c r="D346" s="166">
        <f>D338</f>
        <v>11</v>
      </c>
      <c r="E346" s="695">
        <f>INDEX(O346:O363,E344)</f>
        <v>128.00000000000003</v>
      </c>
      <c r="F346" s="695">
        <f>INDEX(O346:O363,F344)</f>
        <v>90.509667991878104</v>
      </c>
      <c r="G346" s="696"/>
      <c r="H346" s="697">
        <f>D346/SQRT(H354)</f>
        <v>65.272991200661934</v>
      </c>
      <c r="I346" s="697">
        <f>D346/SQRT(I354)</f>
        <v>11.428609980196512</v>
      </c>
      <c r="K346" s="698">
        <f>INDEX(O346:O363,K344)</f>
        <v>8.0000000000000018</v>
      </c>
      <c r="L346" s="698">
        <f>INDEX(O346:O363,L344)</f>
        <v>5.6568542494923815</v>
      </c>
      <c r="O346" s="699">
        <v>1</v>
      </c>
    </row>
    <row r="347" spans="2:15">
      <c r="C347" s="165" t="s">
        <v>1800</v>
      </c>
      <c r="D347" s="166">
        <f>D339</f>
        <v>125</v>
      </c>
      <c r="E347" s="697">
        <f>D347/E355</f>
        <v>7.3852539062499964</v>
      </c>
      <c r="F347" s="697">
        <f>D347/F355</f>
        <v>3.6926269531249978</v>
      </c>
      <c r="G347" s="696"/>
      <c r="H347" s="700">
        <v>14.2</v>
      </c>
      <c r="I347" s="700">
        <v>115.8</v>
      </c>
      <c r="K347" s="700">
        <v>500</v>
      </c>
      <c r="L347" s="700">
        <v>1000</v>
      </c>
      <c r="O347" s="714">
        <f>O346*SQRT(2)</f>
        <v>1.4142135623730951</v>
      </c>
    </row>
    <row r="348" spans="2:15">
      <c r="G348" s="8"/>
      <c r="O348" s="701">
        <f>O347*SQRT(2)</f>
        <v>2.0000000000000004</v>
      </c>
    </row>
    <row r="349" spans="2:15">
      <c r="G349" s="8"/>
      <c r="O349" s="714">
        <f t="shared" ref="O349:O363" si="30">O348*SQRT(2)</f>
        <v>2.8284271247461907</v>
      </c>
    </row>
    <row r="350" spans="2:15">
      <c r="B350" s="8"/>
      <c r="C350" s="11"/>
      <c r="D350" s="11"/>
      <c r="E350" s="11"/>
      <c r="F350" s="11"/>
      <c r="G350" s="11"/>
      <c r="H350" s="11"/>
      <c r="I350" s="11"/>
      <c r="J350" s="11"/>
      <c r="K350" s="11"/>
      <c r="L350" s="11"/>
      <c r="M350" s="11"/>
      <c r="O350" s="701">
        <f t="shared" si="30"/>
        <v>4.0000000000000009</v>
      </c>
    </row>
    <row r="351" spans="2:15">
      <c r="B351" s="702"/>
      <c r="C351" s="703" t="s">
        <v>61</v>
      </c>
      <c r="D351" s="702"/>
      <c r="E351" s="702"/>
      <c r="F351" s="702"/>
      <c r="G351" s="704"/>
      <c r="H351" s="702"/>
      <c r="I351" s="702"/>
      <c r="J351" s="702"/>
      <c r="K351" s="702"/>
      <c r="L351" s="702"/>
      <c r="M351" s="702"/>
      <c r="N351" s="702"/>
      <c r="O351" s="714">
        <f t="shared" si="30"/>
        <v>5.6568542494923815</v>
      </c>
    </row>
    <row r="352" spans="2:15">
      <c r="B352" s="702"/>
      <c r="C352" s="702"/>
      <c r="D352" s="702"/>
      <c r="E352" s="702"/>
      <c r="F352" s="702"/>
      <c r="G352" s="704"/>
      <c r="H352" s="702"/>
      <c r="I352" s="702"/>
      <c r="J352" s="702"/>
      <c r="K352" s="702"/>
      <c r="L352" s="702"/>
      <c r="M352" s="702"/>
      <c r="N352" s="702"/>
      <c r="O352" s="701">
        <f t="shared" si="30"/>
        <v>8.0000000000000018</v>
      </c>
    </row>
    <row r="353" spans="2:15">
      <c r="B353" s="702"/>
      <c r="C353" s="705"/>
      <c r="D353" s="706" t="s">
        <v>1807</v>
      </c>
      <c r="E353" s="707">
        <f>E345/D345</f>
        <v>8</v>
      </c>
      <c r="F353" s="707">
        <f>F345/D345</f>
        <v>2</v>
      </c>
      <c r="G353" s="708"/>
      <c r="H353" s="707">
        <f>H345/D345</f>
        <v>4</v>
      </c>
      <c r="I353" s="707">
        <f>I345/D345</f>
        <v>1</v>
      </c>
      <c r="J353" s="702"/>
      <c r="K353" s="707">
        <f>K354*K355</f>
        <v>0.47265624999999978</v>
      </c>
      <c r="L353" s="707">
        <f>L354*L355</f>
        <v>0.47265624999999967</v>
      </c>
      <c r="M353" s="702"/>
      <c r="N353" s="702"/>
      <c r="O353" s="714">
        <f t="shared" si="30"/>
        <v>11.313708498984763</v>
      </c>
    </row>
    <row r="354" spans="2:15">
      <c r="B354" s="702"/>
      <c r="C354" s="705"/>
      <c r="D354" s="709"/>
      <c r="E354" s="707">
        <f>1/(E346/D346)^2</f>
        <v>7.3852539062499965E-3</v>
      </c>
      <c r="F354" s="707">
        <f>1/(F346/D346)^2</f>
        <v>1.477050781249999E-2</v>
      </c>
      <c r="G354" s="708"/>
      <c r="H354" s="707">
        <f>1/(H353*H355)</f>
        <v>2.8399999999999995E-2</v>
      </c>
      <c r="I354" s="707">
        <f>1/(I353*I355)</f>
        <v>0.92639999999999989</v>
      </c>
      <c r="J354" s="702"/>
      <c r="K354" s="707">
        <f>1/(K346/D346)^2</f>
        <v>1.8906249999999991</v>
      </c>
      <c r="L354" s="707">
        <f>1/(L346/D346)^2</f>
        <v>3.7812499999999973</v>
      </c>
      <c r="M354" s="702"/>
      <c r="N354" s="702"/>
      <c r="O354" s="701">
        <f t="shared" si="30"/>
        <v>16.000000000000004</v>
      </c>
    </row>
    <row r="355" spans="2:15">
      <c r="B355" s="702"/>
      <c r="C355" s="705"/>
      <c r="D355" s="709"/>
      <c r="E355" s="707">
        <f>1/(E353*E354)</f>
        <v>16.925619834710751</v>
      </c>
      <c r="F355" s="707">
        <f>1/(F353*F354)</f>
        <v>33.85123966942151</v>
      </c>
      <c r="G355" s="708"/>
      <c r="H355" s="707">
        <f>D347/H347</f>
        <v>8.8028169014084519</v>
      </c>
      <c r="I355" s="707">
        <f>D347/I347</f>
        <v>1.0794473229706392</v>
      </c>
      <c r="J355" s="702"/>
      <c r="K355" s="707">
        <f>D347/K347</f>
        <v>0.25</v>
      </c>
      <c r="L355" s="707">
        <f>D347/L347</f>
        <v>0.125</v>
      </c>
      <c r="M355" s="702"/>
      <c r="N355" s="702"/>
      <c r="O355" s="714">
        <f t="shared" si="30"/>
        <v>22.627416997969526</v>
      </c>
    </row>
    <row r="356" spans="2:15">
      <c r="B356" s="702"/>
      <c r="C356" s="705"/>
      <c r="D356" s="704"/>
      <c r="E356" s="710"/>
      <c r="F356" s="711"/>
      <c r="G356" s="709"/>
      <c r="H356" s="711"/>
      <c r="I356" s="711"/>
      <c r="J356" s="702"/>
      <c r="K356" s="711"/>
      <c r="L356" s="711"/>
      <c r="M356" s="702"/>
      <c r="N356" s="702"/>
      <c r="O356" s="701">
        <f t="shared" si="30"/>
        <v>32.000000000000007</v>
      </c>
    </row>
    <row r="357" spans="2:15">
      <c r="B357" s="702"/>
      <c r="C357" s="702"/>
      <c r="D357" s="704"/>
      <c r="E357" s="702"/>
      <c r="F357" s="702"/>
      <c r="G357" s="704"/>
      <c r="H357" s="702"/>
      <c r="I357" s="702"/>
      <c r="J357" s="702"/>
      <c r="K357" s="702"/>
      <c r="L357" s="702"/>
      <c r="M357" s="702"/>
      <c r="N357" s="702"/>
      <c r="O357" s="714">
        <f t="shared" si="30"/>
        <v>45.254833995939052</v>
      </c>
    </row>
    <row r="358" spans="2:15">
      <c r="B358" s="702"/>
      <c r="C358" s="702"/>
      <c r="D358" s="706" t="s">
        <v>1808</v>
      </c>
      <c r="E358" s="712">
        <f t="shared" ref="E358:F360" si="31">LOG10(E353)/LOG10(2)</f>
        <v>3</v>
      </c>
      <c r="F358" s="712">
        <f t="shared" si="31"/>
        <v>1</v>
      </c>
      <c r="G358" s="709"/>
      <c r="H358" s="712">
        <f t="shared" ref="H358:I360" si="32">LOG10(H353)/LOG10(2)</f>
        <v>2</v>
      </c>
      <c r="I358" s="712">
        <f t="shared" si="32"/>
        <v>0</v>
      </c>
      <c r="J358" s="702"/>
      <c r="K358" s="712">
        <f t="shared" ref="K358:L360" si="33">LOG10(K353)/LOG10(2)</f>
        <v>-1.0811367627254063</v>
      </c>
      <c r="L358" s="712">
        <f t="shared" si="33"/>
        <v>-1.0811367627254065</v>
      </c>
      <c r="M358" s="702"/>
      <c r="N358" s="702"/>
      <c r="O358" s="701">
        <f t="shared" si="30"/>
        <v>64.000000000000014</v>
      </c>
    </row>
    <row r="359" spans="2:15">
      <c r="B359" s="702"/>
      <c r="C359" s="702"/>
      <c r="D359" s="709"/>
      <c r="E359" s="712">
        <f t="shared" si="31"/>
        <v>-7.0811367627254063</v>
      </c>
      <c r="F359" s="712">
        <f t="shared" si="31"/>
        <v>-6.0811367627254063</v>
      </c>
      <c r="G359" s="709"/>
      <c r="H359" s="712">
        <f t="shared" si="32"/>
        <v>-5.1379652600447674</v>
      </c>
      <c r="I359" s="712">
        <f t="shared" si="32"/>
        <v>-0.11029284156021296</v>
      </c>
      <c r="J359" s="702"/>
      <c r="K359" s="712">
        <f t="shared" si="33"/>
        <v>0.91886323727459385</v>
      </c>
      <c r="L359" s="712">
        <f t="shared" si="33"/>
        <v>1.9188632372745935</v>
      </c>
      <c r="M359" s="702"/>
      <c r="N359" s="702"/>
      <c r="O359" s="714">
        <f t="shared" si="30"/>
        <v>90.509667991878104</v>
      </c>
    </row>
    <row r="360" spans="2:15">
      <c r="B360" s="702"/>
      <c r="C360" s="702"/>
      <c r="D360" s="709"/>
      <c r="E360" s="712">
        <f t="shared" si="31"/>
        <v>4.0811367627254063</v>
      </c>
      <c r="F360" s="712">
        <f t="shared" si="31"/>
        <v>5.0811367627254063</v>
      </c>
      <c r="G360" s="709"/>
      <c r="H360" s="712">
        <f t="shared" si="32"/>
        <v>3.1379652600447674</v>
      </c>
      <c r="I360" s="712">
        <f t="shared" si="32"/>
        <v>0.11029284156021296</v>
      </c>
      <c r="J360" s="702"/>
      <c r="K360" s="712">
        <f t="shared" si="33"/>
        <v>-2</v>
      </c>
      <c r="L360" s="712">
        <f t="shared" si="33"/>
        <v>-3</v>
      </c>
      <c r="M360" s="702"/>
      <c r="N360" s="702"/>
      <c r="O360" s="701">
        <f>O359*SQRT(2)</f>
        <v>128.00000000000003</v>
      </c>
    </row>
    <row r="361" spans="2:15">
      <c r="B361" s="702"/>
      <c r="C361" s="702"/>
      <c r="D361" s="702"/>
      <c r="E361" s="702"/>
      <c r="F361" s="702"/>
      <c r="G361" s="702"/>
      <c r="H361" s="702"/>
      <c r="I361" s="702"/>
      <c r="J361" s="702"/>
      <c r="K361" s="702"/>
      <c r="L361" s="702"/>
      <c r="M361" s="702"/>
      <c r="N361" s="702"/>
      <c r="O361" s="714">
        <f t="shared" si="30"/>
        <v>181.01933598375621</v>
      </c>
    </row>
    <row r="362" spans="2:15">
      <c r="B362" s="8"/>
      <c r="C362" s="713"/>
      <c r="D362" s="713"/>
      <c r="E362" s="713"/>
      <c r="F362" s="713"/>
      <c r="G362" s="713"/>
      <c r="H362" s="713"/>
      <c r="I362" s="713"/>
      <c r="J362" s="713"/>
      <c r="K362" s="713"/>
      <c r="L362" s="713"/>
      <c r="M362" s="713"/>
      <c r="N362" s="702"/>
      <c r="O362" s="701">
        <f t="shared" si="30"/>
        <v>256.00000000000006</v>
      </c>
    </row>
    <row r="363" spans="2:15">
      <c r="B363" s="702"/>
      <c r="C363" s="702"/>
      <c r="D363" s="702"/>
      <c r="E363" s="702"/>
      <c r="F363" s="702"/>
      <c r="G363" s="704"/>
      <c r="H363" s="702"/>
      <c r="I363" s="702"/>
      <c r="J363" s="702"/>
      <c r="K363" s="702"/>
      <c r="L363" s="702"/>
      <c r="M363" s="702"/>
      <c r="N363" s="702"/>
      <c r="O363" s="715">
        <f t="shared" si="30"/>
        <v>362.03867196751241</v>
      </c>
    </row>
    <row r="364" spans="2:15">
      <c r="B364" s="702"/>
      <c r="C364" s="702"/>
      <c r="D364" s="702" t="s">
        <v>1809</v>
      </c>
      <c r="E364" s="702"/>
      <c r="F364" s="702" t="s">
        <v>1810</v>
      </c>
      <c r="G364" s="702"/>
      <c r="H364" s="702"/>
      <c r="I364" s="702"/>
      <c r="J364" s="702"/>
      <c r="K364" s="702"/>
      <c r="L364" s="702"/>
      <c r="M364" s="702"/>
      <c r="N364" s="702"/>
    </row>
    <row r="365" spans="2:15">
      <c r="B365" s="702"/>
      <c r="C365" s="702"/>
      <c r="D365" s="702" t="s">
        <v>1811</v>
      </c>
      <c r="E365" s="702"/>
      <c r="F365" s="702" t="s">
        <v>1812</v>
      </c>
      <c r="G365" s="702"/>
      <c r="H365" s="702"/>
      <c r="I365" s="702"/>
      <c r="J365" s="702"/>
      <c r="K365" s="702"/>
      <c r="L365" s="702"/>
      <c r="M365" s="702"/>
      <c r="N365" s="702"/>
    </row>
    <row r="366" spans="2:15">
      <c r="B366" s="702"/>
      <c r="C366" s="702"/>
      <c r="D366" s="702" t="s">
        <v>1813</v>
      </c>
      <c r="E366" s="702"/>
      <c r="F366" s="702" t="s">
        <v>1814</v>
      </c>
      <c r="G366" s="702"/>
      <c r="H366" s="702"/>
      <c r="I366" s="702"/>
      <c r="J366" s="702"/>
      <c r="K366" s="702"/>
      <c r="L366" s="702"/>
      <c r="M366" s="702"/>
      <c r="N366" s="702"/>
    </row>
    <row r="378" spans="2:5" ht="12.75" customHeight="1">
      <c r="B378" s="1074" t="s">
        <v>1055</v>
      </c>
      <c r="C378" s="1071" t="s">
        <v>3172</v>
      </c>
    </row>
    <row r="379" spans="2:5" ht="18" customHeight="1">
      <c r="B379" s="1075"/>
      <c r="C379" s="1071" t="s">
        <v>3173</v>
      </c>
    </row>
    <row r="380" spans="2:5">
      <c r="B380" s="346"/>
      <c r="C380" s="1071" t="s">
        <v>3174</v>
      </c>
    </row>
    <row r="381" spans="2:5">
      <c r="B381" s="1075"/>
      <c r="C381" s="1071" t="s">
        <v>3175</v>
      </c>
    </row>
    <row r="382" spans="2:5">
      <c r="B382" s="1074" t="s">
        <v>0</v>
      </c>
      <c r="C382" s="1071" t="s">
        <v>3176</v>
      </c>
    </row>
    <row r="383" spans="2:5">
      <c r="B383" s="1076"/>
      <c r="C383" s="786" t="s">
        <v>3177</v>
      </c>
    </row>
    <row r="384" spans="2:5">
      <c r="B384" s="346"/>
      <c r="C384"/>
      <c r="D384"/>
      <c r="E384"/>
    </row>
    <row r="385" spans="2:5">
      <c r="B385" s="346"/>
      <c r="C385"/>
      <c r="D385"/>
      <c r="E385" s="32"/>
    </row>
    <row r="386" spans="2:5">
      <c r="B386" s="346"/>
      <c r="C386" s="60" t="s">
        <v>1658</v>
      </c>
      <c r="D386" s="636">
        <v>100</v>
      </c>
      <c r="E386" s="32" t="s">
        <v>344</v>
      </c>
    </row>
    <row r="387" spans="2:5">
      <c r="B387" s="346"/>
      <c r="C387" s="60" t="s">
        <v>3160</v>
      </c>
      <c r="D387" s="636">
        <v>900</v>
      </c>
      <c r="E387" s="32" t="s">
        <v>344</v>
      </c>
    </row>
    <row r="388" spans="2:5">
      <c r="B388" s="346"/>
      <c r="C388" s="60" t="s">
        <v>1659</v>
      </c>
      <c r="D388" s="636">
        <v>11</v>
      </c>
      <c r="E388" s="32"/>
    </row>
    <row r="389" spans="2:5">
      <c r="B389" s="346"/>
      <c r="C389" s="60"/>
      <c r="D389" s="26"/>
      <c r="E389" s="32"/>
    </row>
    <row r="390" spans="2:5">
      <c r="B390" s="346"/>
      <c r="C390" s="60" t="s">
        <v>3161</v>
      </c>
      <c r="D390" s="953">
        <f>D387-D386</f>
        <v>800</v>
      </c>
      <c r="E390" s="32" t="s">
        <v>344</v>
      </c>
    </row>
    <row r="391" spans="2:5">
      <c r="B391" s="346"/>
      <c r="C391" s="60" t="s">
        <v>1327</v>
      </c>
      <c r="D391" s="923">
        <f>D386+D386*D386/D390</f>
        <v>112.5</v>
      </c>
      <c r="E391" s="32" t="s">
        <v>344</v>
      </c>
    </row>
    <row r="392" spans="2:5">
      <c r="B392" s="346"/>
      <c r="C392" s="60"/>
      <c r="D392" s="953"/>
      <c r="E392" s="32"/>
    </row>
    <row r="393" spans="2:5">
      <c r="B393" s="346"/>
      <c r="C393" s="60" t="s">
        <v>1657</v>
      </c>
      <c r="D393" s="954">
        <f>D386/D388</f>
        <v>9.0909090909090917</v>
      </c>
      <c r="E393" s="32" t="s">
        <v>344</v>
      </c>
    </row>
    <row r="394" spans="2:5">
      <c r="B394" s="346"/>
      <c r="C394" s="60"/>
      <c r="D394" s="953"/>
      <c r="E394" s="32"/>
    </row>
    <row r="395" spans="2:5">
      <c r="B395" s="346"/>
      <c r="C395" s="60" t="s">
        <v>3162</v>
      </c>
      <c r="D395" s="1072">
        <f>D391/D393</f>
        <v>12.374999999999998</v>
      </c>
      <c r="E395" s="32"/>
    </row>
    <row r="396" spans="2:5">
      <c r="B396" s="346"/>
      <c r="C396" s="953"/>
      <c r="D396" s="32"/>
      <c r="E396" s="32"/>
    </row>
    <row r="397" spans="2:5">
      <c r="B397" s="346"/>
      <c r="C397" s="953"/>
      <c r="D397" s="32"/>
      <c r="E397" s="32"/>
    </row>
    <row r="398" spans="2:5">
      <c r="B398" s="1076" t="s">
        <v>3163</v>
      </c>
      <c r="C398" s="218" t="s">
        <v>3164</v>
      </c>
      <c r="D398" s="32"/>
      <c r="E398" s="32"/>
    </row>
    <row r="399" spans="2:5">
      <c r="B399" s="346"/>
      <c r="C399" s="218" t="s">
        <v>3165</v>
      </c>
      <c r="D399" s="32"/>
      <c r="E399" s="32"/>
    </row>
    <row r="400" spans="2:5">
      <c r="B400" s="346"/>
      <c r="C400" s="32"/>
      <c r="D400" s="32"/>
      <c r="E400" s="32"/>
    </row>
    <row r="401" spans="2:5">
      <c r="B401" s="346"/>
      <c r="C401" s="60" t="s">
        <v>3166</v>
      </c>
      <c r="D401" s="923">
        <f>(D391/D386)^2</f>
        <v>1.265625</v>
      </c>
      <c r="E401" s="32"/>
    </row>
    <row r="402" spans="2:5">
      <c r="B402" s="346"/>
      <c r="C402" s="32"/>
      <c r="D402" s="32"/>
      <c r="E402" s="32"/>
    </row>
    <row r="403" spans="2:5">
      <c r="B403" s="346"/>
      <c r="C403" s="60" t="s">
        <v>3167</v>
      </c>
      <c r="D403" s="901">
        <f>LOG(D401,2)/LOG(2,2)</f>
        <v>0.33985000288462475</v>
      </c>
      <c r="E403" s="32"/>
    </row>
    <row r="404" spans="2:5">
      <c r="B404" s="346"/>
      <c r="C404" s="32"/>
      <c r="D404" s="32"/>
      <c r="E404" s="32"/>
    </row>
    <row r="405" spans="2:5">
      <c r="B405" s="346"/>
      <c r="C405" s="60" t="s">
        <v>3168</v>
      </c>
      <c r="D405" s="586" t="s">
        <v>3216</v>
      </c>
      <c r="E405" s="32"/>
    </row>
    <row r="406" spans="2:5">
      <c r="B406" s="346"/>
      <c r="C406" s="60"/>
      <c r="D406" s="32"/>
      <c r="E406" s="32"/>
    </row>
    <row r="407" spans="2:5">
      <c r="B407" s="1076" t="s">
        <v>3163</v>
      </c>
      <c r="C407" s="218" t="s">
        <v>3169</v>
      </c>
      <c r="D407" s="32"/>
      <c r="E407" s="32"/>
    </row>
    <row r="408" spans="2:5">
      <c r="B408" s="346"/>
      <c r="C408" s="60"/>
      <c r="D408" s="32"/>
      <c r="E408" s="32"/>
    </row>
    <row r="409" spans="2:5">
      <c r="B409" s="346"/>
      <c r="C409" s="60" t="s">
        <v>3170</v>
      </c>
      <c r="D409" s="1073" t="s">
        <v>3171</v>
      </c>
      <c r="E409" s="222">
        <f>(D387/D386-1)</f>
        <v>8</v>
      </c>
    </row>
    <row r="418" spans="2:10" ht="15.75">
      <c r="B418" s="1077" t="s">
        <v>3178</v>
      </c>
      <c r="C418" s="11"/>
      <c r="D418" s="226" t="s">
        <v>3179</v>
      </c>
      <c r="E418" s="11"/>
      <c r="F418" s="11"/>
    </row>
    <row r="419" spans="2:10" ht="15.75">
      <c r="B419" s="631"/>
    </row>
    <row r="420" spans="2:10">
      <c r="B420" s="2" t="s">
        <v>3180</v>
      </c>
    </row>
    <row r="422" spans="2:10">
      <c r="B422" s="2" t="s">
        <v>3181</v>
      </c>
    </row>
    <row r="423" spans="2:10">
      <c r="B423" s="2" t="s">
        <v>3182</v>
      </c>
    </row>
    <row r="424" spans="2:10">
      <c r="B424" s="2" t="s">
        <v>3183</v>
      </c>
    </row>
    <row r="425" spans="2:10">
      <c r="B425" s="2" t="s">
        <v>3184</v>
      </c>
    </row>
    <row r="426" spans="2:10">
      <c r="B426" s="2" t="s">
        <v>3185</v>
      </c>
    </row>
    <row r="427" spans="2:10">
      <c r="B427" s="2" t="s">
        <v>3186</v>
      </c>
    </row>
    <row r="428" spans="2:10">
      <c r="B428" s="1078" t="s">
        <v>3187</v>
      </c>
    </row>
    <row r="429" spans="2:10">
      <c r="B429" s="2" t="s">
        <v>3188</v>
      </c>
    </row>
    <row r="430" spans="2:10">
      <c r="B430" s="2" t="s">
        <v>3189</v>
      </c>
      <c r="J430" s="2" t="s">
        <v>3213</v>
      </c>
    </row>
    <row r="431" spans="2:10">
      <c r="B431" s="2" t="s">
        <v>3190</v>
      </c>
    </row>
    <row r="433" spans="1:16">
      <c r="B433" s="2" t="s">
        <v>3191</v>
      </c>
    </row>
    <row r="434" spans="1:16">
      <c r="B434" s="2" t="s">
        <v>3192</v>
      </c>
    </row>
    <row r="435" spans="1:16">
      <c r="B435" s="2"/>
      <c r="J435" s="27"/>
    </row>
    <row r="436" spans="1:16">
      <c r="B436" s="27" t="s">
        <v>3193</v>
      </c>
      <c r="J436" s="27" t="s">
        <v>3193</v>
      </c>
    </row>
    <row r="437" spans="1:16">
      <c r="B437" s="315" t="s">
        <v>3214</v>
      </c>
      <c r="J437" s="315" t="s">
        <v>3214</v>
      </c>
    </row>
    <row r="438" spans="1:16">
      <c r="I438" s="165"/>
    </row>
    <row r="439" spans="1:16">
      <c r="A439" s="2" t="s">
        <v>3194</v>
      </c>
      <c r="B439" s="3" t="s">
        <v>1551</v>
      </c>
      <c r="I439" s="243" t="s">
        <v>3194</v>
      </c>
      <c r="J439" s="3" t="s">
        <v>1551</v>
      </c>
    </row>
    <row r="440" spans="1:16">
      <c r="B440" s="3" t="s">
        <v>3195</v>
      </c>
      <c r="I440" s="165"/>
      <c r="J440" s="3" t="s">
        <v>3195</v>
      </c>
    </row>
    <row r="441" spans="1:16">
      <c r="B441" s="3" t="s">
        <v>3196</v>
      </c>
      <c r="C441" s="3"/>
      <c r="D441" s="3"/>
      <c r="E441" s="3"/>
      <c r="F441" s="3"/>
      <c r="G441" s="3"/>
      <c r="H441" s="3"/>
      <c r="I441" s="165"/>
      <c r="J441" s="3" t="s">
        <v>3196</v>
      </c>
    </row>
    <row r="442" spans="1:16">
      <c r="B442" s="3"/>
      <c r="C442" s="3"/>
      <c r="D442" s="3"/>
      <c r="E442" s="3"/>
      <c r="F442" s="3"/>
      <c r="G442" s="3"/>
      <c r="H442" s="3"/>
      <c r="I442" s="165"/>
    </row>
    <row r="443" spans="1:16" ht="15">
      <c r="B443" s="1079" t="s">
        <v>1409</v>
      </c>
      <c r="C443" s="1080">
        <v>2.8</v>
      </c>
      <c r="D443" s="1081"/>
      <c r="E443" s="1081"/>
      <c r="F443" s="1081"/>
      <c r="G443" s="1081"/>
      <c r="H443" s="1081"/>
      <c r="I443" s="165"/>
      <c r="J443" s="1079" t="s">
        <v>1409</v>
      </c>
      <c r="K443" s="1082">
        <v>2.8</v>
      </c>
      <c r="L443" s="1083">
        <f>K443*SQRT(2)</f>
        <v>3.9597979746446663</v>
      </c>
      <c r="M443" s="1083">
        <f>L443*SQRT(2)</f>
        <v>5.6000000000000005</v>
      </c>
      <c r="N443" s="1083">
        <f>M443*SQRT(2)</f>
        <v>7.9195959492893335</v>
      </c>
      <c r="O443" s="1083">
        <f>N443*SQRT(2)</f>
        <v>11.200000000000003</v>
      </c>
      <c r="P443" s="1083">
        <f>O443*SQRT(2)</f>
        <v>15.839191898578669</v>
      </c>
    </row>
    <row r="444" spans="1:16" ht="15">
      <c r="B444" s="1079" t="s">
        <v>1553</v>
      </c>
      <c r="C444" s="1080">
        <v>80</v>
      </c>
      <c r="D444" s="1081"/>
      <c r="E444" s="1081"/>
      <c r="F444" s="1081"/>
      <c r="G444" s="1081"/>
      <c r="H444" s="1081"/>
      <c r="I444" s="165"/>
      <c r="J444" s="1079" t="s">
        <v>1553</v>
      </c>
      <c r="K444" s="1080">
        <v>80</v>
      </c>
      <c r="L444" s="1081">
        <f>K444</f>
        <v>80</v>
      </c>
      <c r="M444" s="1081">
        <f>L444</f>
        <v>80</v>
      </c>
      <c r="N444" s="1081">
        <f>M444</f>
        <v>80</v>
      </c>
      <c r="O444" s="1081">
        <f>N444</f>
        <v>80</v>
      </c>
      <c r="P444" s="1081">
        <f>O444</f>
        <v>80</v>
      </c>
    </row>
    <row r="445" spans="1:16" ht="15">
      <c r="B445" s="1079" t="s">
        <v>3197</v>
      </c>
      <c r="C445" s="1083"/>
      <c r="D445" s="1083"/>
      <c r="E445" s="1083"/>
      <c r="F445" s="1083"/>
      <c r="G445" s="1083"/>
      <c r="H445" s="1083"/>
      <c r="I445" s="165"/>
      <c r="J445" s="1079" t="s">
        <v>3197</v>
      </c>
      <c r="K445" s="1083">
        <f t="shared" ref="K445:P445" si="34">1/K443</f>
        <v>0.35714285714285715</v>
      </c>
      <c r="L445" s="1083">
        <f t="shared" si="34"/>
        <v>0.25253813613805265</v>
      </c>
      <c r="M445" s="1083">
        <f t="shared" si="34"/>
        <v>0.17857142857142855</v>
      </c>
      <c r="N445" s="1083">
        <f t="shared" si="34"/>
        <v>0.12626906806902632</v>
      </c>
      <c r="O445" s="1083">
        <f t="shared" si="34"/>
        <v>8.928571428571426E-2</v>
      </c>
      <c r="P445" s="1083">
        <f t="shared" si="34"/>
        <v>6.3134534034513148E-2</v>
      </c>
    </row>
    <row r="446" spans="1:16" ht="15">
      <c r="B446" s="1079" t="s">
        <v>3198</v>
      </c>
      <c r="C446" s="1083"/>
      <c r="D446" s="1083"/>
      <c r="E446" s="1083"/>
      <c r="F446" s="1083"/>
      <c r="G446" s="1083"/>
      <c r="H446" s="1083"/>
      <c r="I446" s="165"/>
      <c r="J446" s="1079" t="s">
        <v>3198</v>
      </c>
      <c r="K446" s="1084">
        <f t="shared" ref="K446:P446" si="35">1/K445</f>
        <v>2.8</v>
      </c>
      <c r="L446" s="1083">
        <f t="shared" si="35"/>
        <v>3.9597979746446668</v>
      </c>
      <c r="M446" s="1083">
        <f t="shared" si="35"/>
        <v>5.6000000000000005</v>
      </c>
      <c r="N446" s="1083">
        <f t="shared" si="35"/>
        <v>7.9195959492893335</v>
      </c>
      <c r="O446" s="1083">
        <f t="shared" si="35"/>
        <v>11.200000000000003</v>
      </c>
      <c r="P446" s="1083">
        <f t="shared" si="35"/>
        <v>15.839191898578671</v>
      </c>
    </row>
    <row r="447" spans="1:16" ht="15">
      <c r="B447" s="1079"/>
      <c r="C447" s="1085"/>
      <c r="D447" s="1081"/>
      <c r="E447" s="1085"/>
      <c r="F447" s="1085"/>
      <c r="G447" s="1085"/>
      <c r="H447" s="1085"/>
      <c r="I447" s="165"/>
      <c r="J447" s="1079"/>
      <c r="K447" s="1085"/>
      <c r="L447" s="1081"/>
      <c r="M447" s="1085"/>
      <c r="N447" s="1085"/>
      <c r="O447" s="1085"/>
      <c r="P447" s="1085"/>
    </row>
    <row r="448" spans="1:16" ht="15">
      <c r="B448" s="1079" t="s">
        <v>3199</v>
      </c>
      <c r="C448" s="1083"/>
      <c r="D448" s="1083"/>
      <c r="E448" s="1083"/>
      <c r="F448" s="1083"/>
      <c r="G448" s="1083"/>
      <c r="H448" s="1083"/>
      <c r="I448" s="165"/>
      <c r="J448" s="1079" t="s">
        <v>3199</v>
      </c>
      <c r="K448" s="1083">
        <f t="shared" ref="K448:P448" si="36">K449/2</f>
        <v>14.285714285714286</v>
      </c>
      <c r="L448" s="1083">
        <f t="shared" si="36"/>
        <v>10.101525445522107</v>
      </c>
      <c r="M448" s="1083">
        <f t="shared" si="36"/>
        <v>7.1428571428571423</v>
      </c>
      <c r="N448" s="1083">
        <f t="shared" si="36"/>
        <v>5.0507627227610534</v>
      </c>
      <c r="O448" s="1083">
        <f t="shared" si="36"/>
        <v>3.5714285714285703</v>
      </c>
      <c r="P448" s="1083">
        <f t="shared" si="36"/>
        <v>2.5253813613805258</v>
      </c>
    </row>
    <row r="449" spans="1:19" ht="15">
      <c r="B449" s="1079" t="s">
        <v>3200</v>
      </c>
      <c r="C449" s="1086"/>
      <c r="D449" s="1081"/>
      <c r="E449" s="1086"/>
      <c r="F449" s="1086"/>
      <c r="G449" s="1086"/>
      <c r="H449" s="1086"/>
      <c r="I449" s="165"/>
      <c r="J449" s="1079" t="s">
        <v>3200</v>
      </c>
      <c r="K449" s="1083">
        <f t="shared" ref="K449:P449" si="37">K445*K444</f>
        <v>28.571428571428573</v>
      </c>
      <c r="L449" s="1083">
        <f t="shared" si="37"/>
        <v>20.203050891044214</v>
      </c>
      <c r="M449" s="1083">
        <f t="shared" si="37"/>
        <v>14.285714285714285</v>
      </c>
      <c r="N449" s="1083">
        <f t="shared" si="37"/>
        <v>10.101525445522107</v>
      </c>
      <c r="O449" s="1083">
        <f t="shared" si="37"/>
        <v>7.1428571428571406</v>
      </c>
      <c r="P449" s="1083">
        <f t="shared" si="37"/>
        <v>5.0507627227610516</v>
      </c>
    </row>
    <row r="450" spans="1:19" ht="15">
      <c r="B450" s="1079" t="s">
        <v>3201</v>
      </c>
      <c r="C450" s="1083"/>
      <c r="D450" s="1083"/>
      <c r="E450" s="1083"/>
      <c r="F450" s="1083"/>
      <c r="G450" s="1083"/>
      <c r="H450" s="1083"/>
      <c r="I450" s="165"/>
      <c r="J450" s="1079" t="s">
        <v>3201</v>
      </c>
      <c r="K450" s="1083">
        <f t="shared" ref="K450:P450" si="38">PI()*K448^2</f>
        <v>641.14135787546797</v>
      </c>
      <c r="L450" s="1083">
        <f t="shared" si="38"/>
        <v>320.57067893773399</v>
      </c>
      <c r="M450" s="1083">
        <f t="shared" si="38"/>
        <v>160.28533946886699</v>
      </c>
      <c r="N450" s="1083">
        <f t="shared" si="38"/>
        <v>80.142669734433497</v>
      </c>
      <c r="O450" s="1083">
        <f t="shared" si="38"/>
        <v>40.07133486721672</v>
      </c>
      <c r="P450" s="1083">
        <f t="shared" si="38"/>
        <v>20.03566743360836</v>
      </c>
    </row>
    <row r="451" spans="1:19" ht="15">
      <c r="B451" s="1079"/>
      <c r="C451" s="1083"/>
      <c r="D451" s="1083"/>
      <c r="E451" s="1083"/>
      <c r="F451" s="1083"/>
      <c r="G451" s="1083"/>
      <c r="H451" s="1083"/>
      <c r="I451" s="165"/>
      <c r="J451" s="1079"/>
      <c r="K451" s="1083"/>
      <c r="L451" s="1083"/>
      <c r="M451" s="1083"/>
      <c r="N451" s="1083"/>
      <c r="O451" s="1083"/>
      <c r="P451" s="1083"/>
    </row>
    <row r="452" spans="1:19" ht="15">
      <c r="B452" s="1079" t="s">
        <v>1558</v>
      </c>
      <c r="C452" s="1087">
        <v>1</v>
      </c>
      <c r="D452" s="1088"/>
      <c r="E452" s="1088"/>
      <c r="F452" s="1088"/>
      <c r="G452" s="1088"/>
      <c r="H452" s="1088"/>
      <c r="I452" s="165"/>
      <c r="J452" s="1079" t="s">
        <v>1558</v>
      </c>
      <c r="K452" s="1087">
        <v>1</v>
      </c>
      <c r="L452" s="1088">
        <f>K452*L450/K450</f>
        <v>0.5</v>
      </c>
      <c r="M452" s="1088">
        <f>L452*M450/L450</f>
        <v>0.25</v>
      </c>
      <c r="N452" s="1088">
        <f>M452*N450/M450</f>
        <v>0.125</v>
      </c>
      <c r="O452" s="1088">
        <f>N452*O450/N450</f>
        <v>6.2499999999999958E-2</v>
      </c>
      <c r="P452" s="1088">
        <f>O452*P450/O450</f>
        <v>3.1249999999999979E-2</v>
      </c>
    </row>
    <row r="453" spans="1:19">
      <c r="B453" s="3"/>
      <c r="I453" s="165"/>
    </row>
    <row r="454" spans="1:19">
      <c r="B454" s="3"/>
      <c r="I454" s="165"/>
    </row>
    <row r="455" spans="1:19">
      <c r="B455" s="3"/>
      <c r="I455" s="165"/>
    </row>
    <row r="456" spans="1:19">
      <c r="A456" s="2" t="s">
        <v>3202</v>
      </c>
      <c r="B456" s="3" t="s">
        <v>3203</v>
      </c>
      <c r="I456" s="243" t="s">
        <v>3202</v>
      </c>
      <c r="J456" s="165" t="s">
        <v>124</v>
      </c>
      <c r="K456" s="1089">
        <v>32</v>
      </c>
      <c r="L456" s="364">
        <f>K456/K457</f>
        <v>29.344129382549479</v>
      </c>
      <c r="M456" s="364">
        <f>L456/K457</f>
        <v>26.908685288118864</v>
      </c>
      <c r="N456" s="364">
        <f>M456/K457</f>
        <v>24.675373206527052</v>
      </c>
      <c r="O456" s="1090">
        <f>N456/K457</f>
        <v>22.627416997969519</v>
      </c>
      <c r="P456" s="364">
        <f>O456/K457</f>
        <v>20.749432874416151</v>
      </c>
      <c r="Q456" s="364">
        <f>P456/K457</f>
        <v>19.027313840043533</v>
      </c>
      <c r="R456" s="364">
        <f>Q456/K457</f>
        <v>17.448123722644119</v>
      </c>
      <c r="S456" s="1090">
        <f>R456/K457</f>
        <v>15.999999999999996</v>
      </c>
    </row>
    <row r="457" spans="1:19">
      <c r="B457" s="3" t="s">
        <v>3204</v>
      </c>
      <c r="I457" s="165"/>
      <c r="J457" s="165" t="s">
        <v>3205</v>
      </c>
      <c r="K457" s="326">
        <f>(SQRT(2))^(1/4)</f>
        <v>1.0905077326652577</v>
      </c>
    </row>
    <row r="458" spans="1:19">
      <c r="B458" s="3"/>
      <c r="I458" s="165"/>
    </row>
    <row r="459" spans="1:19">
      <c r="B459" s="3"/>
      <c r="I459" s="243" t="s">
        <v>3208</v>
      </c>
      <c r="J459" s="165" t="s">
        <v>3206</v>
      </c>
      <c r="K459" s="326">
        <v>1200</v>
      </c>
      <c r="M459" s="165" t="s">
        <v>3207</v>
      </c>
      <c r="N459" s="292">
        <f>K460+K460/(K459/K460-1)</f>
        <v>85.714285714285708</v>
      </c>
    </row>
    <row r="460" spans="1:19">
      <c r="A460" s="2" t="s">
        <v>3208</v>
      </c>
      <c r="B460" s="3" t="s">
        <v>3209</v>
      </c>
      <c r="I460" s="165"/>
      <c r="J460" s="165" t="s">
        <v>2661</v>
      </c>
      <c r="K460" s="326">
        <v>80</v>
      </c>
      <c r="M460" s="165" t="s">
        <v>3210</v>
      </c>
      <c r="N460" s="1">
        <f>K460/K461</f>
        <v>10</v>
      </c>
    </row>
    <row r="461" spans="1:19">
      <c r="B461" s="3" t="s">
        <v>3211</v>
      </c>
      <c r="J461" s="165" t="s">
        <v>1356</v>
      </c>
      <c r="K461" s="326">
        <v>8</v>
      </c>
      <c r="M461" s="165" t="s">
        <v>3212</v>
      </c>
      <c r="N461" s="292">
        <f>1/(N460/N459)</f>
        <v>8.5714285714285712</v>
      </c>
    </row>
    <row r="464" spans="1:19">
      <c r="B464" s="2" t="s">
        <v>3215</v>
      </c>
    </row>
  </sheetData>
  <pageMargins left="0.41" right="0.25" top="0.55000000000000004" bottom="0.38" header="0.4921259845" footer="0.25"/>
  <pageSetup paperSize="9" scale="3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61" r:id="rId4" name="Drop Down 25">
              <controlPr locked="0" defaultSize="0" autoLine="0" autoPict="0">
                <anchor moveWithCells="1">
                  <from>
                    <xdr:col>4</xdr:col>
                    <xdr:colOff>409575</xdr:colOff>
                    <xdr:row>341</xdr:row>
                    <xdr:rowOff>142875</xdr:rowOff>
                  </from>
                  <to>
                    <xdr:col>4</xdr:col>
                    <xdr:colOff>1038225</xdr:colOff>
                    <xdr:row>343</xdr:row>
                    <xdr:rowOff>66675</xdr:rowOff>
                  </to>
                </anchor>
              </controlPr>
            </control>
          </mc:Choice>
        </mc:AlternateContent>
        <mc:AlternateContent xmlns:mc="http://schemas.openxmlformats.org/markup-compatibility/2006">
          <mc:Choice Requires="x14">
            <control shapeId="14362" r:id="rId5" name="Drop Down 26">
              <controlPr locked="0" defaultSize="0" autoLine="0" autoPict="0">
                <anchor moveWithCells="1">
                  <from>
                    <xdr:col>5</xdr:col>
                    <xdr:colOff>238125</xdr:colOff>
                    <xdr:row>341</xdr:row>
                    <xdr:rowOff>133350</xdr:rowOff>
                  </from>
                  <to>
                    <xdr:col>5</xdr:col>
                    <xdr:colOff>866775</xdr:colOff>
                    <xdr:row>343</xdr:row>
                    <xdr:rowOff>57150</xdr:rowOff>
                  </to>
                </anchor>
              </controlPr>
            </control>
          </mc:Choice>
        </mc:AlternateContent>
        <mc:AlternateContent xmlns:mc="http://schemas.openxmlformats.org/markup-compatibility/2006">
          <mc:Choice Requires="x14">
            <control shapeId="14363" r:id="rId6" name="Drop Down 27">
              <controlPr locked="0" defaultSize="0" autoLine="0" autoPict="0">
                <anchor moveWithCells="1">
                  <from>
                    <xdr:col>11</xdr:col>
                    <xdr:colOff>200025</xdr:colOff>
                    <xdr:row>341</xdr:row>
                    <xdr:rowOff>142875</xdr:rowOff>
                  </from>
                  <to>
                    <xdr:col>11</xdr:col>
                    <xdr:colOff>828675</xdr:colOff>
                    <xdr:row>343</xdr:row>
                    <xdr:rowOff>66675</xdr:rowOff>
                  </to>
                </anchor>
              </controlPr>
            </control>
          </mc:Choice>
        </mc:AlternateContent>
        <mc:AlternateContent xmlns:mc="http://schemas.openxmlformats.org/markup-compatibility/2006">
          <mc:Choice Requires="x14">
            <control shapeId="14364" r:id="rId7" name="Drop Down 28">
              <controlPr locked="0" defaultSize="0" autoLine="0" autoPict="0">
                <anchor moveWithCells="1">
                  <from>
                    <xdr:col>10</xdr:col>
                    <xdr:colOff>200025</xdr:colOff>
                    <xdr:row>341</xdr:row>
                    <xdr:rowOff>142875</xdr:rowOff>
                  </from>
                  <to>
                    <xdr:col>10</xdr:col>
                    <xdr:colOff>828675</xdr:colOff>
                    <xdr:row>343</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1">
    <pageSetUpPr fitToPage="1"/>
  </sheetPr>
  <dimension ref="A2:Q592"/>
  <sheetViews>
    <sheetView zoomScale="80" zoomScaleNormal="80" workbookViewId="0">
      <selection activeCell="P236" sqref="P236"/>
    </sheetView>
  </sheetViews>
  <sheetFormatPr baseColWidth="10" defaultColWidth="10.28515625" defaultRowHeight="12.75"/>
  <cols>
    <col min="1" max="1" width="10.28515625" style="716" customWidth="1"/>
    <col min="2" max="2" width="32.5703125" style="716" customWidth="1"/>
    <col min="3" max="3" width="15.7109375" style="716" customWidth="1"/>
    <col min="4" max="4" width="10.28515625" style="716" customWidth="1"/>
    <col min="5" max="5" width="13.5703125" style="716" customWidth="1"/>
    <col min="6" max="6" width="15.42578125" style="716" customWidth="1"/>
    <col min="7" max="7" width="14.5703125" style="716" customWidth="1"/>
    <col min="8" max="8" width="13.42578125" style="716" customWidth="1"/>
    <col min="9" max="9" width="10.28515625" style="716" customWidth="1"/>
    <col min="10" max="10" width="12" style="716" customWidth="1"/>
    <col min="11" max="16384" width="10.28515625" style="716"/>
  </cols>
  <sheetData>
    <row r="2" spans="2:8">
      <c r="B2" s="2" t="s">
        <v>1910</v>
      </c>
      <c r="C2" s="165" t="s">
        <v>1911</v>
      </c>
      <c r="D2" s="760">
        <v>180</v>
      </c>
      <c r="E2" s="1" t="s">
        <v>1846</v>
      </c>
      <c r="F2" s="1"/>
      <c r="G2" s="1"/>
      <c r="H2" s="1"/>
    </row>
    <row r="3" spans="2:8">
      <c r="B3" s="1"/>
      <c r="C3" s="165"/>
      <c r="D3" s="26"/>
      <c r="E3" s="1"/>
      <c r="F3" s="1"/>
      <c r="G3" s="1"/>
      <c r="H3" s="1"/>
    </row>
    <row r="4" spans="2:8">
      <c r="B4" s="1"/>
      <c r="C4" s="165" t="s">
        <v>1912</v>
      </c>
      <c r="D4" s="26">
        <f>RADIANS(D2)</f>
        <v>3.1415926535897931</v>
      </c>
      <c r="E4" s="1"/>
      <c r="F4" s="1"/>
      <c r="G4" s="1"/>
      <c r="H4" s="1"/>
    </row>
    <row r="5" spans="2:8">
      <c r="B5" s="1"/>
      <c r="C5" s="1"/>
      <c r="D5" s="1"/>
      <c r="E5" s="1"/>
      <c r="F5" s="1"/>
      <c r="G5" s="1"/>
      <c r="H5" s="1"/>
    </row>
    <row r="6" spans="2:8">
      <c r="B6" s="1"/>
      <c r="C6" s="165" t="s">
        <v>1913</v>
      </c>
      <c r="D6" s="761">
        <f>D4/(2*PI())</f>
        <v>0.5</v>
      </c>
      <c r="E6" s="1" t="s">
        <v>1914</v>
      </c>
      <c r="F6" s="1"/>
      <c r="G6" s="1"/>
      <c r="H6" s="1"/>
    </row>
    <row r="7" spans="2:8">
      <c r="B7" s="1"/>
      <c r="C7" s="1"/>
      <c r="D7" s="1"/>
      <c r="E7" s="1"/>
      <c r="F7" s="1"/>
      <c r="G7" s="1"/>
      <c r="H7" s="1"/>
    </row>
    <row r="8" spans="2:8">
      <c r="B8" s="1"/>
      <c r="C8" s="1"/>
      <c r="D8" s="1"/>
      <c r="E8" s="1"/>
      <c r="F8" s="1"/>
      <c r="G8" s="1"/>
      <c r="H8" s="1"/>
    </row>
    <row r="9" spans="2:8">
      <c r="B9" s="8" t="s">
        <v>1915</v>
      </c>
      <c r="C9" s="8"/>
      <c r="D9" s="8"/>
      <c r="E9" s="8"/>
      <c r="F9" s="8"/>
      <c r="G9" s="1"/>
      <c r="H9" s="1"/>
    </row>
    <row r="10" spans="2:8">
      <c r="B10" s="8" t="s">
        <v>1916</v>
      </c>
      <c r="C10" s="8"/>
      <c r="D10" s="8"/>
      <c r="E10" s="8"/>
      <c r="F10" s="8"/>
      <c r="G10" s="1"/>
      <c r="H10" s="1"/>
    </row>
    <row r="11" spans="2:8">
      <c r="B11" s="8" t="s">
        <v>1917</v>
      </c>
      <c r="C11" s="8"/>
      <c r="D11" s="8"/>
      <c r="E11" s="8"/>
      <c r="F11" s="8"/>
      <c r="G11" s="1"/>
      <c r="H11" s="1"/>
    </row>
    <row r="12" spans="2:8">
      <c r="B12" s="8" t="s">
        <v>1918</v>
      </c>
      <c r="C12" s="8">
        <f>2*PI()*1</f>
        <v>6.2831853071795862</v>
      </c>
      <c r="D12" s="8"/>
      <c r="E12" s="8"/>
      <c r="F12" s="8"/>
      <c r="G12" s="1"/>
      <c r="H12" s="1"/>
    </row>
    <row r="13" spans="2:8">
      <c r="B13" s="8" t="s">
        <v>1919</v>
      </c>
      <c r="C13" s="8"/>
      <c r="D13" s="8"/>
      <c r="E13" s="8"/>
      <c r="F13" s="8"/>
      <c r="G13" s="1"/>
      <c r="H13" s="1"/>
    </row>
    <row r="14" spans="2:8">
      <c r="B14" s="8"/>
      <c r="C14" s="8"/>
      <c r="D14" s="8"/>
      <c r="E14" s="8"/>
      <c r="F14" s="8"/>
      <c r="G14" s="1"/>
      <c r="H14" s="1"/>
    </row>
    <row r="15" spans="2:8">
      <c r="B15" s="8" t="s">
        <v>1920</v>
      </c>
      <c r="C15" s="8"/>
      <c r="D15" s="8"/>
      <c r="E15" s="8"/>
      <c r="F15" s="8"/>
      <c r="G15" s="1"/>
      <c r="H15" s="1"/>
    </row>
    <row r="16" spans="2:8">
      <c r="B16" s="8" t="s">
        <v>1921</v>
      </c>
      <c r="C16" s="8"/>
      <c r="D16" s="8"/>
      <c r="E16" s="8"/>
      <c r="F16" s="8"/>
      <c r="G16" s="1"/>
      <c r="H16" s="1"/>
    </row>
    <row r="17" spans="2:8">
      <c r="B17" s="172" t="s">
        <v>1922</v>
      </c>
      <c r="C17" s="8"/>
      <c r="D17" s="8"/>
      <c r="E17" s="8"/>
      <c r="F17" s="8"/>
      <c r="G17" s="1"/>
      <c r="H17" s="1"/>
    </row>
    <row r="18" spans="2:8">
      <c r="B18" s="8"/>
      <c r="C18" s="8"/>
      <c r="D18" s="8"/>
      <c r="E18" s="8"/>
      <c r="F18" s="8"/>
      <c r="G18" s="1"/>
      <c r="H18" s="1"/>
    </row>
    <row r="19" spans="2:8">
      <c r="B19" s="8"/>
      <c r="C19" s="8"/>
      <c r="D19" s="8"/>
      <c r="E19" s="8"/>
      <c r="F19" s="8"/>
      <c r="G19" s="1"/>
      <c r="H19" s="1"/>
    </row>
    <row r="20" spans="2:8">
      <c r="B20" s="8" t="s">
        <v>1923</v>
      </c>
      <c r="C20" s="8"/>
      <c r="D20" s="8"/>
      <c r="E20" s="8"/>
      <c r="F20" s="8"/>
      <c r="G20" s="1"/>
      <c r="H20" s="1"/>
    </row>
    <row r="21" spans="2:8">
      <c r="B21" s="8"/>
      <c r="C21" s="8"/>
      <c r="D21" s="8"/>
      <c r="E21" s="8"/>
      <c r="F21" s="8"/>
      <c r="G21" s="1"/>
      <c r="H21" s="1"/>
    </row>
    <row r="22" spans="2:8">
      <c r="B22" s="8" t="s">
        <v>1924</v>
      </c>
      <c r="C22" s="762" t="s">
        <v>1925</v>
      </c>
      <c r="D22" s="8"/>
      <c r="E22" s="8"/>
      <c r="F22" s="8"/>
      <c r="G22" s="1"/>
      <c r="H22" s="1"/>
    </row>
    <row r="23" spans="2:8">
      <c r="B23" s="8"/>
      <c r="C23" s="8"/>
      <c r="D23" s="8"/>
      <c r="E23" s="8"/>
      <c r="F23" s="8"/>
      <c r="G23" s="1"/>
      <c r="H23" s="1"/>
    </row>
    <row r="24" spans="2:8">
      <c r="B24" s="8">
        <f>2*PI()*1</f>
        <v>6.2831853071795862</v>
      </c>
      <c r="C24" s="8" t="s">
        <v>1926</v>
      </c>
      <c r="D24" s="8"/>
      <c r="E24" s="8"/>
      <c r="F24" s="8"/>
      <c r="G24" s="1"/>
      <c r="H24" s="1"/>
    </row>
    <row r="25" spans="2:8">
      <c r="B25" s="8"/>
      <c r="C25" s="8"/>
      <c r="D25" s="8"/>
      <c r="E25" s="8"/>
      <c r="F25" s="8"/>
      <c r="G25" s="1"/>
      <c r="H25" s="1"/>
    </row>
    <row r="26" spans="2:8">
      <c r="B26" s="8" t="s">
        <v>1927</v>
      </c>
      <c r="C26" s="8"/>
      <c r="D26" s="8"/>
      <c r="E26" s="8"/>
      <c r="F26" s="8"/>
      <c r="G26" s="1"/>
      <c r="H26" s="1"/>
    </row>
    <row r="27" spans="2:8">
      <c r="B27" s="8"/>
      <c r="C27" s="8"/>
      <c r="D27" s="8"/>
      <c r="E27" s="8"/>
      <c r="F27" s="8"/>
      <c r="G27" s="1"/>
      <c r="H27" s="1"/>
    </row>
    <row r="28" spans="2:8">
      <c r="B28" s="8" t="s">
        <v>1928</v>
      </c>
      <c r="C28" s="8"/>
      <c r="D28" s="8"/>
      <c r="E28" s="8"/>
      <c r="F28" s="8"/>
      <c r="G28" s="1"/>
      <c r="H28" s="1"/>
    </row>
    <row r="29" spans="2:8">
      <c r="B29" s="8" t="s">
        <v>1929</v>
      </c>
      <c r="C29" s="8"/>
      <c r="D29" s="8"/>
      <c r="E29" s="8"/>
      <c r="F29" s="8"/>
      <c r="G29" s="1"/>
      <c r="H29" s="1"/>
    </row>
    <row r="30" spans="2:8">
      <c r="B30" s="8"/>
      <c r="C30" s="8"/>
      <c r="D30" s="8"/>
      <c r="E30" s="8"/>
      <c r="F30" s="8"/>
      <c r="G30" s="1"/>
      <c r="H30" s="1"/>
    </row>
    <row r="31" spans="2:8">
      <c r="B31" s="762" t="s">
        <v>1930</v>
      </c>
      <c r="C31" s="8"/>
      <c r="D31" s="8"/>
      <c r="E31" s="8"/>
      <c r="F31" s="8"/>
      <c r="G31" s="1"/>
      <c r="H31" s="1"/>
    </row>
    <row r="32" spans="2:8">
      <c r="B32" s="8"/>
      <c r="C32" s="8"/>
      <c r="D32" s="8"/>
      <c r="E32" s="8"/>
      <c r="F32" s="8"/>
      <c r="G32" s="1"/>
      <c r="H32" s="1"/>
    </row>
    <row r="33" spans="2:8">
      <c r="B33" s="8" t="s">
        <v>431</v>
      </c>
      <c r="C33" s="8"/>
      <c r="D33" s="8"/>
      <c r="E33" s="8"/>
      <c r="F33" s="8"/>
      <c r="G33" s="1"/>
      <c r="H33" s="1"/>
    </row>
    <row r="34" spans="2:8">
      <c r="B34" s="190" t="s">
        <v>1931</v>
      </c>
      <c r="C34" s="8"/>
      <c r="D34" s="8"/>
      <c r="E34" s="8"/>
      <c r="F34" s="8"/>
      <c r="G34" s="1"/>
      <c r="H34" s="1"/>
    </row>
    <row r="35" spans="2:8">
      <c r="B35" s="8" t="s">
        <v>1932</v>
      </c>
      <c r="C35" s="8"/>
      <c r="D35" s="8"/>
      <c r="E35" s="8"/>
      <c r="F35" s="8"/>
      <c r="G35" s="1"/>
      <c r="H35" s="1"/>
    </row>
    <row r="36" spans="2:8">
      <c r="B36" s="8" t="s">
        <v>1933</v>
      </c>
      <c r="C36" s="8"/>
      <c r="D36" s="8"/>
      <c r="E36" s="8"/>
      <c r="F36" s="8"/>
      <c r="G36" s="1"/>
      <c r="H36" s="1"/>
    </row>
    <row r="37" spans="2:8">
      <c r="B37" s="8"/>
      <c r="C37" s="8"/>
      <c r="D37" s="8"/>
      <c r="E37" s="8"/>
      <c r="F37" s="8"/>
      <c r="G37" s="1"/>
      <c r="H37" s="1"/>
    </row>
    <row r="38" spans="2:8">
      <c r="B38" s="8"/>
      <c r="C38" s="8"/>
      <c r="D38" s="8"/>
      <c r="E38" s="8"/>
      <c r="F38" s="8"/>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3" t="s">
        <v>1934</v>
      </c>
      <c r="C42" s="1"/>
      <c r="D42" s="1"/>
      <c r="E42" s="1"/>
      <c r="F42" s="1"/>
      <c r="G42" s="1"/>
      <c r="H42" s="1"/>
    </row>
    <row r="43" spans="2:8">
      <c r="B43" s="1"/>
      <c r="C43" s="1"/>
      <c r="D43" s="1"/>
      <c r="E43" s="1"/>
      <c r="F43" s="1"/>
      <c r="G43" s="1"/>
      <c r="H43" s="1"/>
    </row>
    <row r="44" spans="2:8">
      <c r="B44" s="1" t="s">
        <v>1935</v>
      </c>
      <c r="C44" s="1">
        <f>2*PI()</f>
        <v>6.2831853071795862</v>
      </c>
      <c r="D44" s="1"/>
      <c r="E44" s="1"/>
      <c r="F44" s="1"/>
      <c r="G44" s="1"/>
      <c r="H44" s="1"/>
    </row>
    <row r="45" spans="2:8">
      <c r="B45" s="1" t="s">
        <v>1936</v>
      </c>
      <c r="C45" s="1">
        <v>360</v>
      </c>
      <c r="D45" s="1" t="s">
        <v>1846</v>
      </c>
      <c r="E45" s="1"/>
      <c r="F45" s="1"/>
      <c r="G45" s="1"/>
      <c r="H45" s="1"/>
    </row>
    <row r="46" spans="2:8">
      <c r="B46" s="1"/>
      <c r="C46" s="1"/>
      <c r="D46" s="1"/>
      <c r="E46" s="1"/>
      <c r="F46" s="1"/>
      <c r="G46" s="1"/>
      <c r="H46" s="1"/>
    </row>
    <row r="47" spans="2:8">
      <c r="B47" s="1" t="s">
        <v>1870</v>
      </c>
      <c r="C47" s="681">
        <v>45</v>
      </c>
      <c r="D47" s="1" t="s">
        <v>1846</v>
      </c>
      <c r="E47" s="1"/>
      <c r="F47" s="1"/>
      <c r="G47" s="1"/>
      <c r="H47" s="1"/>
    </row>
    <row r="48" spans="2:8">
      <c r="B48" s="1"/>
      <c r="C48" s="1"/>
      <c r="D48" s="1"/>
      <c r="E48" s="1"/>
      <c r="F48" s="1"/>
      <c r="G48" s="1"/>
      <c r="H48" s="1"/>
    </row>
    <row r="49" spans="2:8">
      <c r="B49" s="1" t="s">
        <v>1937</v>
      </c>
      <c r="C49" s="1">
        <f>C47/C45</f>
        <v>0.125</v>
      </c>
      <c r="D49" s="1"/>
      <c r="E49" s="1"/>
      <c r="F49" s="1"/>
      <c r="G49" s="1"/>
      <c r="H49" s="1"/>
    </row>
    <row r="50" spans="2:8">
      <c r="B50" s="1"/>
      <c r="C50" s="1"/>
      <c r="D50" s="1"/>
      <c r="E50" s="1"/>
      <c r="F50" s="1"/>
      <c r="G50" s="1"/>
      <c r="H50" s="1"/>
    </row>
    <row r="51" spans="2:8">
      <c r="B51" s="1" t="s">
        <v>1938</v>
      </c>
      <c r="C51" s="1">
        <f>C44*C49</f>
        <v>0.78539816339744828</v>
      </c>
      <c r="D51" s="1" t="s">
        <v>1939</v>
      </c>
      <c r="E51" s="1"/>
      <c r="F51" s="1"/>
      <c r="G51" s="1"/>
      <c r="H51" s="1"/>
    </row>
    <row r="52" spans="2:8" ht="13.5" thickBot="1">
      <c r="B52" s="728"/>
      <c r="C52" s="728"/>
      <c r="D52" s="728"/>
      <c r="E52" s="728"/>
      <c r="F52" s="1"/>
      <c r="G52" s="1"/>
      <c r="H52" s="1"/>
    </row>
    <row r="53" spans="2:8">
      <c r="B53" s="1"/>
      <c r="C53" s="1"/>
      <c r="D53" s="1"/>
      <c r="E53" s="1"/>
      <c r="F53" s="1"/>
      <c r="G53" s="1"/>
      <c r="H53" s="1"/>
    </row>
    <row r="54" spans="2:8">
      <c r="B54" s="1" t="s">
        <v>1938</v>
      </c>
      <c r="C54" s="1">
        <f>RADIANS(C47)</f>
        <v>0.78539816339744828</v>
      </c>
      <c r="D54" s="1" t="s">
        <v>1940</v>
      </c>
      <c r="E54" s="1"/>
      <c r="F54" s="1"/>
      <c r="G54" s="1"/>
      <c r="H54" s="1"/>
    </row>
    <row r="55" spans="2:8">
      <c r="B55" s="1"/>
      <c r="C55" s="1"/>
      <c r="D55" s="1"/>
      <c r="E55" s="1"/>
      <c r="F55" s="1"/>
      <c r="G55" s="1"/>
      <c r="H55" s="1"/>
    </row>
    <row r="56" spans="2:8">
      <c r="B56" s="1"/>
      <c r="C56" s="1"/>
      <c r="D56" s="1"/>
      <c r="E56" s="1"/>
      <c r="F56" s="1"/>
      <c r="G56" s="1"/>
      <c r="H56" s="1"/>
    </row>
    <row r="57" spans="2:8" ht="13.5" thickBot="1">
      <c r="B57" s="1"/>
      <c r="C57" s="1"/>
      <c r="D57" s="1"/>
      <c r="E57" s="1"/>
      <c r="F57" s="1"/>
      <c r="G57" s="1"/>
      <c r="H57" s="1"/>
    </row>
    <row r="58" spans="2:8">
      <c r="C58" s="455" t="s">
        <v>1946</v>
      </c>
      <c r="D58" s="717"/>
      <c r="E58" s="717"/>
      <c r="F58" s="717"/>
      <c r="G58" s="717"/>
      <c r="H58" s="718"/>
    </row>
    <row r="59" spans="2:8">
      <c r="C59" s="457" t="s">
        <v>1947</v>
      </c>
      <c r="D59" s="8"/>
      <c r="E59" s="8"/>
      <c r="F59" s="8"/>
      <c r="G59" s="8"/>
      <c r="H59" s="719"/>
    </row>
    <row r="60" spans="2:8">
      <c r="C60" s="457" t="s">
        <v>1815</v>
      </c>
      <c r="D60" s="8"/>
      <c r="E60" s="8"/>
      <c r="F60" s="8"/>
      <c r="G60" s="8"/>
      <c r="H60" s="719"/>
    </row>
    <row r="61" spans="2:8">
      <c r="C61" s="457" t="s">
        <v>1816</v>
      </c>
      <c r="D61" s="8"/>
      <c r="E61" s="8"/>
      <c r="F61" s="8"/>
      <c r="G61" s="8"/>
      <c r="H61" s="719"/>
    </row>
    <row r="62" spans="2:8">
      <c r="C62" s="457" t="s">
        <v>1817</v>
      </c>
      <c r="D62" s="8"/>
      <c r="E62" s="8"/>
      <c r="F62" s="8"/>
      <c r="G62" s="8"/>
      <c r="H62" s="719"/>
    </row>
    <row r="63" spans="2:8">
      <c r="C63" s="457" t="s">
        <v>1818</v>
      </c>
      <c r="D63" s="8"/>
      <c r="E63" s="8"/>
      <c r="F63" s="8"/>
      <c r="G63" s="8"/>
      <c r="H63" s="719"/>
    </row>
    <row r="64" spans="2:8">
      <c r="C64" s="457"/>
      <c r="D64" s="8"/>
      <c r="E64" s="8"/>
      <c r="F64" s="8"/>
      <c r="G64" s="8"/>
      <c r="H64" s="719"/>
    </row>
    <row r="65" spans="2:8">
      <c r="B65" s="720">
        <v>60</v>
      </c>
      <c r="C65" s="721">
        <v>60</v>
      </c>
      <c r="D65" s="8" t="s">
        <v>1819</v>
      </c>
      <c r="E65" s="8"/>
      <c r="F65" s="8"/>
      <c r="G65" s="8"/>
      <c r="H65" s="719"/>
    </row>
    <row r="66" spans="2:8">
      <c r="B66" s="169"/>
      <c r="C66" s="722"/>
      <c r="D66" s="8"/>
      <c r="E66" s="8"/>
      <c r="F66" s="8"/>
      <c r="G66" s="8"/>
      <c r="H66" s="719"/>
    </row>
    <row r="67" spans="2:8">
      <c r="B67" s="723" t="s">
        <v>1820</v>
      </c>
      <c r="C67" s="724">
        <f>RADIANS(C65)</f>
        <v>1.0471975511965976</v>
      </c>
      <c r="D67" s="8" t="s">
        <v>1821</v>
      </c>
      <c r="E67" s="8"/>
      <c r="F67" s="8"/>
      <c r="G67" s="8"/>
      <c r="H67" s="719"/>
    </row>
    <row r="68" spans="2:8">
      <c r="B68" s="723"/>
      <c r="C68" s="724"/>
      <c r="D68" s="8"/>
      <c r="E68" s="8"/>
      <c r="F68" s="8"/>
      <c r="G68" s="8"/>
      <c r="H68" s="719"/>
    </row>
    <row r="69" spans="2:8">
      <c r="B69" s="169"/>
      <c r="C69" s="722"/>
      <c r="D69" s="8"/>
      <c r="E69" s="8"/>
      <c r="F69" s="8"/>
      <c r="G69" s="8"/>
      <c r="H69" s="719"/>
    </row>
    <row r="70" spans="2:8">
      <c r="B70" s="725" t="s">
        <v>1822</v>
      </c>
      <c r="C70" s="726">
        <f>SIN(C67)</f>
        <v>0.8660254037844386</v>
      </c>
      <c r="D70" s="172" t="s">
        <v>1823</v>
      </c>
      <c r="E70" s="172"/>
      <c r="F70" s="8" t="s">
        <v>1824</v>
      </c>
      <c r="G70" s="8"/>
      <c r="H70" s="719"/>
    </row>
    <row r="71" spans="2:8">
      <c r="B71" s="169"/>
      <c r="C71" s="722"/>
      <c r="D71" s="8"/>
      <c r="E71" s="8"/>
      <c r="F71" s="8"/>
      <c r="G71" s="8"/>
      <c r="H71" s="719"/>
    </row>
    <row r="72" spans="2:8">
      <c r="B72" s="169"/>
      <c r="C72" s="722"/>
      <c r="D72" s="8"/>
      <c r="E72" s="8"/>
      <c r="F72" s="8"/>
      <c r="G72" s="8"/>
      <c r="H72" s="719"/>
    </row>
    <row r="73" spans="2:8">
      <c r="B73" s="723" t="s">
        <v>1825</v>
      </c>
      <c r="C73" s="724">
        <f>ASIN(C70)</f>
        <v>1.0471975511965976</v>
      </c>
      <c r="D73" s="8" t="s">
        <v>1821</v>
      </c>
      <c r="E73" s="8"/>
      <c r="F73" s="8"/>
      <c r="G73" s="8"/>
      <c r="H73" s="719"/>
    </row>
    <row r="74" spans="2:8">
      <c r="B74" s="169"/>
      <c r="C74" s="722"/>
      <c r="D74" s="8"/>
      <c r="E74" s="8"/>
      <c r="F74" s="8"/>
      <c r="G74" s="8"/>
      <c r="H74" s="719"/>
    </row>
    <row r="75" spans="2:8" ht="13.5" thickBot="1">
      <c r="B75" s="169" t="s">
        <v>1826</v>
      </c>
      <c r="C75" s="727">
        <f>DEGREES(C73)</f>
        <v>59.999999999999993</v>
      </c>
      <c r="D75" s="728" t="s">
        <v>1819</v>
      </c>
      <c r="E75" s="728"/>
      <c r="F75" s="728" t="s">
        <v>1827</v>
      </c>
      <c r="G75" s="728"/>
      <c r="H75" s="729"/>
    </row>
    <row r="77" spans="2:8">
      <c r="F77" s="1"/>
      <c r="G77" s="1"/>
      <c r="H77" s="1"/>
    </row>
    <row r="78" spans="2:8">
      <c r="F78" s="1"/>
      <c r="G78" s="1"/>
      <c r="H78" s="1"/>
    </row>
    <row r="79" spans="2:8">
      <c r="F79" s="1"/>
      <c r="G79" s="1"/>
      <c r="H79" s="1"/>
    </row>
    <row r="80" spans="2:8">
      <c r="B80" s="1" t="s">
        <v>1941</v>
      </c>
      <c r="C80" s="1"/>
      <c r="D80" s="1"/>
      <c r="E80" s="1"/>
      <c r="G80" s="1"/>
      <c r="H80" s="1"/>
    </row>
    <row r="81" spans="2:5">
      <c r="B81" s="1"/>
      <c r="C81" s="1"/>
      <c r="D81" s="1"/>
      <c r="E81" s="1"/>
    </row>
    <row r="82" spans="2:5">
      <c r="B82" s="165" t="s">
        <v>1870</v>
      </c>
      <c r="C82" s="681">
        <v>40</v>
      </c>
      <c r="D82" s="1" t="s">
        <v>1846</v>
      </c>
      <c r="E82" s="1"/>
    </row>
    <row r="83" spans="2:5">
      <c r="B83" s="165"/>
      <c r="C83" s="1"/>
      <c r="D83" s="1"/>
      <c r="E83" s="1"/>
    </row>
    <row r="84" spans="2:5">
      <c r="B84" s="165" t="s">
        <v>1938</v>
      </c>
      <c r="C84" s="1">
        <f>RADIANS(C82)</f>
        <v>0.69813170079773179</v>
      </c>
      <c r="D84" s="1"/>
      <c r="E84" s="1"/>
    </row>
    <row r="85" spans="2:5">
      <c r="B85" s="165"/>
      <c r="C85" s="1"/>
      <c r="D85" s="1"/>
      <c r="E85" s="1"/>
    </row>
    <row r="86" spans="2:5">
      <c r="B86" s="165" t="s">
        <v>1901</v>
      </c>
      <c r="C86" s="1">
        <f>SIN(C84)</f>
        <v>0.64278760968653925</v>
      </c>
      <c r="D86" s="1"/>
      <c r="E86" s="1"/>
    </row>
    <row r="87" spans="2:5">
      <c r="B87" s="165" t="s">
        <v>1903</v>
      </c>
      <c r="C87" s="1">
        <f>COS(C84)</f>
        <v>0.76604444311897801</v>
      </c>
      <c r="D87" s="1"/>
      <c r="E87" s="1"/>
    </row>
    <row r="88" spans="2:5">
      <c r="B88" s="165" t="s">
        <v>1904</v>
      </c>
      <c r="C88" s="1">
        <f>TAN(C84)</f>
        <v>0.83909963117727993</v>
      </c>
      <c r="D88" s="1"/>
      <c r="E88" s="1"/>
    </row>
    <row r="89" spans="2:5">
      <c r="B89" s="165"/>
      <c r="C89" s="1"/>
      <c r="D89" s="1"/>
      <c r="E89" s="1"/>
    </row>
    <row r="90" spans="2:5">
      <c r="B90" s="165"/>
      <c r="C90" s="1"/>
      <c r="D90" s="1"/>
      <c r="E90" s="1"/>
    </row>
    <row r="91" spans="2:5">
      <c r="B91" s="165"/>
      <c r="C91" s="1"/>
      <c r="D91" s="1"/>
      <c r="E91" s="1"/>
    </row>
    <row r="92" spans="2:5">
      <c r="B92" s="287" t="s">
        <v>1942</v>
      </c>
      <c r="C92" s="1"/>
      <c r="D92" s="1"/>
      <c r="E92" s="1"/>
    </row>
    <row r="93" spans="2:5">
      <c r="B93" s="165"/>
      <c r="C93" s="1"/>
      <c r="D93" s="1"/>
      <c r="E93" s="1"/>
    </row>
    <row r="94" spans="2:5">
      <c r="B94" s="165" t="str">
        <f t="shared" ref="B94:C96" si="0">B86</f>
        <v>Sinus-Wert</v>
      </c>
      <c r="C94" s="681">
        <f t="shared" si="0"/>
        <v>0.64278760968653925</v>
      </c>
      <c r="D94" s="1"/>
      <c r="E94" s="1"/>
    </row>
    <row r="95" spans="2:5">
      <c r="B95" s="165" t="str">
        <f t="shared" si="0"/>
        <v>Cosinus-Wert</v>
      </c>
      <c r="C95" s="681">
        <f t="shared" si="0"/>
        <v>0.76604444311897801</v>
      </c>
      <c r="D95" s="1"/>
      <c r="E95" s="1"/>
    </row>
    <row r="96" spans="2:5">
      <c r="B96" s="165" t="str">
        <f t="shared" si="0"/>
        <v>Tangens-Wert</v>
      </c>
      <c r="C96" s="681">
        <f t="shared" si="0"/>
        <v>0.83909963117727993</v>
      </c>
      <c r="D96" s="1"/>
      <c r="E96" s="1"/>
    </row>
    <row r="97" spans="2:10">
      <c r="B97" s="165"/>
      <c r="C97" s="1"/>
      <c r="D97" s="1"/>
      <c r="E97" s="1"/>
    </row>
    <row r="98" spans="2:10">
      <c r="B98" s="165" t="s">
        <v>1943</v>
      </c>
      <c r="C98" s="1">
        <f>ASIN(C94)</f>
        <v>0.69813170079773168</v>
      </c>
      <c r="D98" s="1"/>
      <c r="E98" s="1"/>
    </row>
    <row r="99" spans="2:10">
      <c r="B99" s="165" t="s">
        <v>1944</v>
      </c>
      <c r="C99" s="1">
        <f>ACOS(C95)</f>
        <v>0.6981317007977319</v>
      </c>
      <c r="D99" s="1"/>
      <c r="E99" s="1"/>
    </row>
    <row r="100" spans="2:10">
      <c r="B100" s="165" t="s">
        <v>1945</v>
      </c>
      <c r="C100" s="1">
        <f>ATAN(C96)</f>
        <v>0.69813170079773179</v>
      </c>
      <c r="D100" s="1"/>
      <c r="E100" s="1"/>
    </row>
    <row r="101" spans="2:10">
      <c r="B101" s="165"/>
      <c r="C101" s="1"/>
      <c r="D101" s="1"/>
      <c r="E101" s="1"/>
    </row>
    <row r="102" spans="2:10">
      <c r="B102" s="165" t="s">
        <v>1870</v>
      </c>
      <c r="C102" s="1">
        <f>DEGREES(C98)</f>
        <v>39.999999999999993</v>
      </c>
      <c r="D102" s="1" t="s">
        <v>1846</v>
      </c>
      <c r="E102" s="1"/>
    </row>
    <row r="107" spans="2:10" ht="15.75">
      <c r="B107" s="763" t="s">
        <v>1828</v>
      </c>
    </row>
    <row r="108" spans="2:10">
      <c r="B108" s="745" t="s">
        <v>1948</v>
      </c>
    </row>
    <row r="111" spans="2:10" ht="13.5" thickBot="1"/>
    <row r="112" spans="2:10">
      <c r="B112" s="730"/>
      <c r="C112" s="731"/>
      <c r="D112" s="731"/>
      <c r="E112" s="732"/>
      <c r="G112" s="730"/>
      <c r="H112" s="731"/>
      <c r="I112" s="731"/>
      <c r="J112" s="732"/>
    </row>
    <row r="113" spans="2:10">
      <c r="B113" s="733"/>
      <c r="C113" s="734" t="s">
        <v>1829</v>
      </c>
      <c r="D113" s="734"/>
      <c r="E113" s="735" t="s">
        <v>1829</v>
      </c>
      <c r="G113" s="733"/>
      <c r="H113" s="734" t="s">
        <v>1829</v>
      </c>
      <c r="I113" s="734"/>
      <c r="J113" s="735" t="s">
        <v>1829</v>
      </c>
    </row>
    <row r="114" spans="2:10">
      <c r="B114" s="733"/>
      <c r="C114" s="734" t="s">
        <v>1830</v>
      </c>
      <c r="D114" s="734"/>
      <c r="E114" s="735" t="s">
        <v>1831</v>
      </c>
      <c r="G114" s="733"/>
      <c r="H114" s="734" t="s">
        <v>1832</v>
      </c>
      <c r="I114" s="734"/>
      <c r="J114" s="735" t="s">
        <v>1831</v>
      </c>
    </row>
    <row r="115" spans="2:10">
      <c r="B115" s="733"/>
      <c r="C115" s="734"/>
      <c r="D115" s="734"/>
      <c r="E115" s="735"/>
      <c r="G115" s="733"/>
      <c r="H115" s="734"/>
      <c r="I115" s="734"/>
      <c r="J115" s="735"/>
    </row>
    <row r="116" spans="2:10">
      <c r="B116" s="733" t="s">
        <v>1833</v>
      </c>
      <c r="C116" s="736">
        <v>45</v>
      </c>
      <c r="D116" s="737"/>
      <c r="E116" s="738">
        <f>DEGREES(ASIN(E118))</f>
        <v>44.99945053347443</v>
      </c>
      <c r="G116" s="733" t="s">
        <v>1833</v>
      </c>
      <c r="H116" s="736">
        <v>45</v>
      </c>
      <c r="I116" s="737"/>
      <c r="J116" s="738">
        <f>DEGREES(ATAN(J118))</f>
        <v>45</v>
      </c>
    </row>
    <row r="117" spans="2:10">
      <c r="B117" s="733"/>
      <c r="C117" s="737"/>
      <c r="D117" s="737"/>
      <c r="E117" s="739"/>
      <c r="G117" s="733"/>
      <c r="H117" s="737"/>
      <c r="I117" s="737"/>
      <c r="J117" s="739"/>
    </row>
    <row r="118" spans="2:10">
      <c r="B118" s="733" t="s">
        <v>1834</v>
      </c>
      <c r="C118" s="740">
        <f>SIN(RADIANS(C116))</f>
        <v>0.70710678118654746</v>
      </c>
      <c r="D118" s="737"/>
      <c r="E118" s="741">
        <v>0.70709999999999995</v>
      </c>
      <c r="G118" s="733" t="s">
        <v>1835</v>
      </c>
      <c r="H118" s="740">
        <f>TAN(RADIANS(H116))</f>
        <v>0.99999999999999989</v>
      </c>
      <c r="I118" s="737"/>
      <c r="J118" s="741">
        <v>1</v>
      </c>
    </row>
    <row r="119" spans="2:10" ht="13.5" thickBot="1">
      <c r="B119" s="742"/>
      <c r="C119" s="743"/>
      <c r="D119" s="743"/>
      <c r="E119" s="744"/>
      <c r="G119" s="742"/>
      <c r="H119" s="743"/>
      <c r="I119" s="743"/>
      <c r="J119" s="744"/>
    </row>
    <row r="127" spans="2:10">
      <c r="B127" s="745" t="s">
        <v>1836</v>
      </c>
      <c r="C127" s="746"/>
      <c r="D127" s="746"/>
    </row>
    <row r="129" spans="2:5">
      <c r="B129" s="745" t="s">
        <v>1837</v>
      </c>
    </row>
    <row r="130" spans="2:5">
      <c r="B130" s="745" t="s">
        <v>1838</v>
      </c>
    </row>
    <row r="131" spans="2:5">
      <c r="C131" s="745"/>
    </row>
    <row r="132" spans="2:5">
      <c r="B132" s="747" t="s">
        <v>1839</v>
      </c>
      <c r="C132" s="745"/>
    </row>
    <row r="135" spans="2:5">
      <c r="B135" s="748" t="s">
        <v>1840</v>
      </c>
      <c r="C135" s="749"/>
      <c r="D135" s="749"/>
      <c r="E135" s="749"/>
    </row>
    <row r="137" spans="2:5">
      <c r="B137" s="750" t="s">
        <v>1841</v>
      </c>
      <c r="C137" s="749">
        <v>3</v>
      </c>
      <c r="D137" s="747" t="s">
        <v>212</v>
      </c>
      <c r="E137" s="747" t="s">
        <v>1842</v>
      </c>
    </row>
    <row r="138" spans="2:5">
      <c r="B138" s="750" t="s">
        <v>1843</v>
      </c>
      <c r="C138" s="749">
        <v>4</v>
      </c>
      <c r="D138" s="747" t="s">
        <v>212</v>
      </c>
    </row>
    <row r="139" spans="2:5">
      <c r="B139" s="750"/>
      <c r="D139" s="747"/>
    </row>
    <row r="140" spans="2:5">
      <c r="B140" s="750" t="s">
        <v>1844</v>
      </c>
      <c r="C140" s="747">
        <f>SQRT(C137^2+C138^2)</f>
        <v>5</v>
      </c>
      <c r="D140" s="747" t="s">
        <v>212</v>
      </c>
    </row>
    <row r="141" spans="2:5">
      <c r="B141" s="751"/>
      <c r="C141" s="745"/>
      <c r="D141" s="745"/>
    </row>
    <row r="142" spans="2:5">
      <c r="B142" s="750" t="s">
        <v>1845</v>
      </c>
      <c r="C142" s="716">
        <v>90</v>
      </c>
      <c r="D142" s="747" t="s">
        <v>1846</v>
      </c>
    </row>
    <row r="143" spans="2:5">
      <c r="B143" s="750" t="s">
        <v>1847</v>
      </c>
      <c r="C143" s="752">
        <f>DEGREES(ATAN(C137/C138))</f>
        <v>36.86989764584402</v>
      </c>
      <c r="D143" s="747" t="s">
        <v>1846</v>
      </c>
    </row>
    <row r="144" spans="2:5">
      <c r="B144" s="750" t="s">
        <v>1848</v>
      </c>
      <c r="C144" s="752">
        <f>DEGREES(ATAN(C138/C137))</f>
        <v>53.13010235415598</v>
      </c>
      <c r="D144" s="747" t="s">
        <v>1846</v>
      </c>
    </row>
    <row r="145" spans="2:5">
      <c r="B145" s="750" t="s">
        <v>1849</v>
      </c>
      <c r="C145" s="752">
        <f>SUM(C142:C144)</f>
        <v>180</v>
      </c>
      <c r="D145" s="747" t="s">
        <v>1846</v>
      </c>
    </row>
    <row r="146" spans="2:5">
      <c r="B146" s="750"/>
      <c r="C146" s="752"/>
      <c r="D146" s="747"/>
    </row>
    <row r="147" spans="2:5">
      <c r="B147" s="750"/>
      <c r="C147" s="752"/>
      <c r="D147" s="747"/>
      <c r="E147" s="747" t="s">
        <v>1850</v>
      </c>
    </row>
    <row r="148" spans="2:5">
      <c r="B148" s="750"/>
      <c r="C148" s="752"/>
      <c r="D148" s="747"/>
    </row>
    <row r="150" spans="2:5">
      <c r="B150" s="750" t="s">
        <v>1841</v>
      </c>
      <c r="C150" s="749">
        <v>3</v>
      </c>
      <c r="D150" s="747" t="s">
        <v>212</v>
      </c>
    </row>
    <row r="151" spans="2:5">
      <c r="B151" s="750" t="s">
        <v>1844</v>
      </c>
      <c r="C151" s="749">
        <v>5</v>
      </c>
      <c r="D151" s="747" t="s">
        <v>212</v>
      </c>
    </row>
    <row r="153" spans="2:5">
      <c r="B153" s="750" t="s">
        <v>1843</v>
      </c>
      <c r="C153" s="747">
        <f>SQRT(C151^2-C150^2)</f>
        <v>4</v>
      </c>
      <c r="D153" s="747" t="s">
        <v>212</v>
      </c>
    </row>
    <row r="155" spans="2:5">
      <c r="B155" s="750" t="s">
        <v>1845</v>
      </c>
      <c r="C155" s="716">
        <v>90</v>
      </c>
      <c r="D155" s="747" t="s">
        <v>1846</v>
      </c>
    </row>
    <row r="156" spans="2:5">
      <c r="B156" s="750" t="s">
        <v>1851</v>
      </c>
      <c r="C156" s="752">
        <f>DEGREES(ASIN(C150/C151))</f>
        <v>36.86989764584402</v>
      </c>
      <c r="D156" s="747" t="s">
        <v>1846</v>
      </c>
    </row>
    <row r="157" spans="2:5">
      <c r="B157" s="750" t="s">
        <v>1852</v>
      </c>
      <c r="C157" s="752">
        <f>DEGREES(ASIN(C153/C151))</f>
        <v>53.130102354155987</v>
      </c>
      <c r="D157" s="747" t="s">
        <v>1846</v>
      </c>
    </row>
    <row r="158" spans="2:5">
      <c r="B158" s="750" t="s">
        <v>1849</v>
      </c>
      <c r="C158" s="752">
        <f>SUM(C155:C157)</f>
        <v>180</v>
      </c>
      <c r="D158" s="747" t="s">
        <v>1846</v>
      </c>
      <c r="E158" s="747" t="s">
        <v>1853</v>
      </c>
    </row>
    <row r="160" spans="2:5">
      <c r="B160" s="750"/>
      <c r="C160" s="750"/>
      <c r="D160" s="750"/>
    </row>
    <row r="161" spans="2:17">
      <c r="B161" s="750"/>
      <c r="C161" s="750"/>
      <c r="D161" s="750"/>
    </row>
    <row r="162" spans="2:17">
      <c r="B162" s="751"/>
      <c r="C162" s="745"/>
      <c r="D162" s="745"/>
    </row>
    <row r="163" spans="2:17">
      <c r="B163" s="750" t="s">
        <v>1843</v>
      </c>
      <c r="C163" s="749">
        <v>3</v>
      </c>
      <c r="D163" s="747" t="s">
        <v>212</v>
      </c>
    </row>
    <row r="164" spans="2:17">
      <c r="B164" s="750" t="s">
        <v>1844</v>
      </c>
      <c r="C164" s="749">
        <v>5</v>
      </c>
      <c r="D164" s="747" t="s">
        <v>212</v>
      </c>
    </row>
    <row r="166" spans="2:17">
      <c r="B166" s="750" t="s">
        <v>1841</v>
      </c>
      <c r="C166" s="747">
        <f>SQRT(C164^2-C163^2)</f>
        <v>4</v>
      </c>
      <c r="D166" s="747" t="s">
        <v>212</v>
      </c>
    </row>
    <row r="168" spans="2:17">
      <c r="B168" s="750" t="s">
        <v>1845</v>
      </c>
      <c r="C168" s="716">
        <v>90</v>
      </c>
      <c r="D168" s="747" t="s">
        <v>1846</v>
      </c>
    </row>
    <row r="169" spans="2:17">
      <c r="B169" s="750" t="s">
        <v>1854</v>
      </c>
      <c r="C169" s="752">
        <f>DEGREES(ACOS(C163/C164))</f>
        <v>53.13010235415598</v>
      </c>
      <c r="D169" s="747" t="s">
        <v>1846</v>
      </c>
    </row>
    <row r="170" spans="2:17">
      <c r="B170" s="750" t="s">
        <v>1855</v>
      </c>
      <c r="C170" s="752">
        <f>DEGREES(ACOS(C166/C164))</f>
        <v>36.869897645844013</v>
      </c>
      <c r="D170" s="747" t="s">
        <v>1846</v>
      </c>
    </row>
    <row r="171" spans="2:17">
      <c r="B171" s="750" t="s">
        <v>1849</v>
      </c>
      <c r="C171" s="752">
        <f>SUM(C168:C170)</f>
        <v>180</v>
      </c>
      <c r="D171" s="747" t="s">
        <v>1846</v>
      </c>
      <c r="E171" s="747" t="s">
        <v>1856</v>
      </c>
    </row>
    <row r="172" spans="2:17">
      <c r="B172" s="750"/>
      <c r="C172" s="752"/>
      <c r="D172" s="747"/>
      <c r="E172" s="747"/>
    </row>
    <row r="173" spans="2:17">
      <c r="B173" s="750"/>
      <c r="C173" s="752"/>
      <c r="D173" s="747"/>
      <c r="E173" s="747"/>
    </row>
    <row r="174" spans="2:17">
      <c r="B174" s="745" t="s">
        <v>1857</v>
      </c>
      <c r="O174" s="716" t="s">
        <v>1949</v>
      </c>
    </row>
    <row r="176" spans="2:17">
      <c r="B176" s="747" t="s">
        <v>1858</v>
      </c>
      <c r="N176" s="753" t="s">
        <v>1859</v>
      </c>
      <c r="O176" s="754">
        <v>7.07</v>
      </c>
      <c r="P176" s="716" t="s">
        <v>344</v>
      </c>
      <c r="Q176" s="716" t="s">
        <v>1860</v>
      </c>
    </row>
    <row r="177" spans="2:17">
      <c r="N177" s="753" t="s">
        <v>1861</v>
      </c>
      <c r="O177" s="754">
        <v>5</v>
      </c>
      <c r="P177" s="716" t="s">
        <v>344</v>
      </c>
      <c r="Q177" s="716" t="s">
        <v>1862</v>
      </c>
    </row>
    <row r="178" spans="2:17">
      <c r="B178" s="750" t="s">
        <v>1863</v>
      </c>
      <c r="C178" s="755">
        <v>12</v>
      </c>
      <c r="D178" s="747" t="s">
        <v>212</v>
      </c>
      <c r="N178" s="753" t="s">
        <v>1863</v>
      </c>
      <c r="O178" s="754">
        <v>5</v>
      </c>
      <c r="P178" s="716" t="s">
        <v>344</v>
      </c>
      <c r="Q178" s="716" t="s">
        <v>1864</v>
      </c>
    </row>
    <row r="179" spans="2:17">
      <c r="B179" s="750" t="s">
        <v>1861</v>
      </c>
      <c r="C179" s="755">
        <v>100</v>
      </c>
      <c r="D179" s="747" t="s">
        <v>212</v>
      </c>
      <c r="N179" s="753"/>
    </row>
    <row r="180" spans="2:17">
      <c r="B180" s="750" t="s">
        <v>1859</v>
      </c>
      <c r="C180" s="756">
        <f>SQRT(C178^2+C179^2)</f>
        <v>100.71742649611338</v>
      </c>
      <c r="D180" s="747" t="s">
        <v>212</v>
      </c>
      <c r="N180" s="753"/>
    </row>
    <row r="181" spans="2:17">
      <c r="B181" s="753"/>
      <c r="N181" s="753" t="s">
        <v>1865</v>
      </c>
      <c r="O181" s="716">
        <f>O178/O176</f>
        <v>0.70721357850070721</v>
      </c>
      <c r="Q181" s="716" t="s">
        <v>1866</v>
      </c>
    </row>
    <row r="182" spans="2:17">
      <c r="B182" s="757" t="s">
        <v>1867</v>
      </c>
      <c r="N182" s="753" t="s">
        <v>1868</v>
      </c>
      <c r="O182" s="716">
        <f>ASIN(O181)</f>
        <v>0.78554920901552161</v>
      </c>
    </row>
    <row r="183" spans="2:17">
      <c r="B183" s="758" t="s">
        <v>1869</v>
      </c>
      <c r="N183" s="753" t="s">
        <v>1870</v>
      </c>
      <c r="O183" s="716">
        <f>DEGREES(O182)</f>
        <v>45.008654276429546</v>
      </c>
    </row>
    <row r="184" spans="2:17">
      <c r="B184" s="753"/>
      <c r="C184" s="747" t="s">
        <v>1871</v>
      </c>
      <c r="N184" s="753"/>
    </row>
    <row r="185" spans="2:17">
      <c r="B185" s="753"/>
      <c r="C185" s="747" t="s">
        <v>1872</v>
      </c>
      <c r="N185" s="753" t="s">
        <v>1873</v>
      </c>
      <c r="O185" s="716">
        <f>O177/O176</f>
        <v>0.70721357850070721</v>
      </c>
      <c r="Q185" s="716" t="s">
        <v>1874</v>
      </c>
    </row>
    <row r="186" spans="2:17">
      <c r="B186" s="753"/>
      <c r="N186" s="753" t="s">
        <v>1875</v>
      </c>
      <c r="O186" s="716">
        <f>ACOS(O185)</f>
        <v>0.78524711777937495</v>
      </c>
    </row>
    <row r="187" spans="2:17">
      <c r="B187" s="747" t="s">
        <v>1834</v>
      </c>
      <c r="C187" s="716">
        <f>C178/C180</f>
        <v>0.11914522061843064</v>
      </c>
      <c r="E187" s="747" t="s">
        <v>1876</v>
      </c>
      <c r="N187" s="753" t="s">
        <v>1870</v>
      </c>
      <c r="O187" s="716">
        <f>DEGREES(O186)</f>
        <v>44.991345723570454</v>
      </c>
    </row>
    <row r="188" spans="2:17">
      <c r="B188" s="747" t="s">
        <v>1877</v>
      </c>
      <c r="C188" s="716">
        <f>C179/C180</f>
        <v>0.99287683848692199</v>
      </c>
      <c r="E188" s="747" t="s">
        <v>1878</v>
      </c>
    </row>
    <row r="189" spans="2:17">
      <c r="B189" s="747" t="s">
        <v>1835</v>
      </c>
      <c r="C189" s="759">
        <f>C178/C179</f>
        <v>0.12</v>
      </c>
      <c r="E189" s="747" t="s">
        <v>1879</v>
      </c>
      <c r="N189" s="753" t="s">
        <v>1880</v>
      </c>
      <c r="O189" s="716">
        <f>O178/O177</f>
        <v>1</v>
      </c>
      <c r="Q189" s="716" t="s">
        <v>1881</v>
      </c>
    </row>
    <row r="190" spans="2:17">
      <c r="B190" s="747"/>
      <c r="C190" s="759"/>
      <c r="E190" s="747"/>
      <c r="N190" s="753" t="s">
        <v>1882</v>
      </c>
      <c r="O190" s="716">
        <f>ATAN(O189)</f>
        <v>0.78539816339744828</v>
      </c>
    </row>
    <row r="191" spans="2:17">
      <c r="B191" s="745" t="s">
        <v>1883</v>
      </c>
      <c r="C191" s="759"/>
      <c r="E191" s="747"/>
      <c r="N191" s="753" t="s">
        <v>1870</v>
      </c>
      <c r="O191" s="716">
        <f>DEGREES(O190)</f>
        <v>45</v>
      </c>
    </row>
    <row r="193" spans="2:11">
      <c r="B193" s="747" t="s">
        <v>1884</v>
      </c>
      <c r="C193" s="716">
        <f>ASIN(C187)</f>
        <v>0.11942892601833845</v>
      </c>
      <c r="E193" s="747" t="s">
        <v>1885</v>
      </c>
    </row>
    <row r="194" spans="2:11">
      <c r="B194" s="747" t="s">
        <v>1886</v>
      </c>
      <c r="C194" s="716">
        <f>ACOS(C188)</f>
        <v>0.11942892601833899</v>
      </c>
      <c r="E194" s="747" t="s">
        <v>1887</v>
      </c>
    </row>
    <row r="195" spans="2:11">
      <c r="B195" s="747" t="s">
        <v>1888</v>
      </c>
      <c r="C195" s="716">
        <f>ATAN(C189)</f>
        <v>0.11942892601833845</v>
      </c>
      <c r="K195" s="716" t="s">
        <v>1889</v>
      </c>
    </row>
    <row r="197" spans="2:11">
      <c r="B197" s="747" t="s">
        <v>1890</v>
      </c>
      <c r="C197" s="716">
        <f>DEGREES(C193)</f>
        <v>6.8427734126309403</v>
      </c>
      <c r="D197" s="747" t="s">
        <v>1846</v>
      </c>
      <c r="K197" s="716" t="s">
        <v>1891</v>
      </c>
    </row>
    <row r="198" spans="2:11">
      <c r="B198" s="747" t="s">
        <v>1892</v>
      </c>
      <c r="C198" s="716">
        <f>DEGREES(C194)</f>
        <v>6.8427734126309714</v>
      </c>
      <c r="D198" s="747" t="s">
        <v>1846</v>
      </c>
    </row>
    <row r="199" spans="2:11">
      <c r="B199" s="747" t="s">
        <v>1893</v>
      </c>
      <c r="C199" s="716">
        <f>DEGREES(C195)</f>
        <v>6.8427734126309403</v>
      </c>
      <c r="D199" s="747" t="s">
        <v>1846</v>
      </c>
      <c r="K199" s="716" t="s">
        <v>1894</v>
      </c>
    </row>
    <row r="200" spans="2:11">
      <c r="K200" s="758" t="s">
        <v>1895</v>
      </c>
    </row>
    <row r="201" spans="2:11">
      <c r="B201" s="747" t="s">
        <v>1896</v>
      </c>
      <c r="C201" s="716">
        <f>DEGREES(ASIN(C187))</f>
        <v>6.8427734126309403</v>
      </c>
      <c r="D201" s="747" t="s">
        <v>1846</v>
      </c>
    </row>
    <row r="202" spans="2:11">
      <c r="C202" s="716">
        <f>DEGREES(ACOS(C188))</f>
        <v>6.8427734126309714</v>
      </c>
      <c r="D202" s="747" t="s">
        <v>1846</v>
      </c>
    </row>
    <row r="203" spans="2:11">
      <c r="C203" s="716">
        <f>DEGREES(ATAN(C189))</f>
        <v>6.8427734126309403</v>
      </c>
      <c r="D203" s="747" t="s">
        <v>1846</v>
      </c>
    </row>
    <row r="205" spans="2:11">
      <c r="B205" s="745" t="s">
        <v>1897</v>
      </c>
      <c r="K205" s="716" t="s">
        <v>1898</v>
      </c>
    </row>
    <row r="206" spans="2:11">
      <c r="K206" s="716" t="s">
        <v>1899</v>
      </c>
    </row>
    <row r="207" spans="2:11">
      <c r="B207" s="747" t="s">
        <v>1900</v>
      </c>
      <c r="C207" s="716">
        <f>RADIANS(C201)</f>
        <v>0.11942892601833845</v>
      </c>
    </row>
    <row r="209" spans="2:7">
      <c r="B209" s="747" t="s">
        <v>1901</v>
      </c>
      <c r="C209" s="716">
        <f>SIN(C207)</f>
        <v>0.11914522061843064</v>
      </c>
      <c r="E209" s="745" t="s">
        <v>1902</v>
      </c>
      <c r="F209" s="745"/>
      <c r="G209" s="745"/>
    </row>
    <row r="210" spans="2:7">
      <c r="B210" s="747" t="s">
        <v>1903</v>
      </c>
      <c r="C210" s="716">
        <f>COS(C207)</f>
        <v>0.9928768384869221</v>
      </c>
      <c r="E210" s="745"/>
      <c r="F210" s="745"/>
      <c r="G210" s="745"/>
    </row>
    <row r="211" spans="2:7">
      <c r="B211" s="747" t="s">
        <v>1904</v>
      </c>
      <c r="C211" s="759">
        <f>TAN(C207)</f>
        <v>0.12</v>
      </c>
      <c r="E211" s="745" t="s">
        <v>1905</v>
      </c>
      <c r="F211" s="745"/>
      <c r="G211" s="745"/>
    </row>
    <row r="213" spans="2:7">
      <c r="B213" s="747" t="s">
        <v>1896</v>
      </c>
      <c r="C213" s="716">
        <f>SIN(RADIANS(C201))</f>
        <v>0.11914522061843064</v>
      </c>
      <c r="D213" s="747" t="s">
        <v>1906</v>
      </c>
    </row>
    <row r="214" spans="2:7">
      <c r="C214" s="716">
        <f>COS(RADIANS(C201))</f>
        <v>0.9928768384869221</v>
      </c>
      <c r="D214" s="747" t="s">
        <v>1907</v>
      </c>
    </row>
    <row r="215" spans="2:7">
      <c r="C215" s="759">
        <f>TAN(RADIANS(C201))</f>
        <v>0.12</v>
      </c>
      <c r="D215" s="747" t="s">
        <v>1908</v>
      </c>
    </row>
    <row r="217" spans="2:7">
      <c r="C217" s="747" t="s">
        <v>1909</v>
      </c>
    </row>
    <row r="225" spans="1:12">
      <c r="B225" s="440" t="s">
        <v>1950</v>
      </c>
      <c r="C225"/>
      <c r="D225"/>
      <c r="E225"/>
      <c r="F225"/>
      <c r="G225"/>
      <c r="H225"/>
      <c r="I225"/>
      <c r="J225"/>
    </row>
    <row r="226" spans="1:12">
      <c r="B226" s="440" t="s">
        <v>1951</v>
      </c>
      <c r="C226"/>
      <c r="D226"/>
      <c r="E226"/>
      <c r="F226"/>
      <c r="G226"/>
      <c r="H226"/>
      <c r="I226"/>
      <c r="J226"/>
    </row>
    <row r="227" spans="1:12">
      <c r="B227" s="369"/>
      <c r="C227"/>
      <c r="D227"/>
      <c r="E227"/>
      <c r="F227"/>
      <c r="G227"/>
      <c r="H227"/>
      <c r="I227"/>
      <c r="J227"/>
    </row>
    <row r="228" spans="1:12">
      <c r="B228" s="369" t="s">
        <v>1952</v>
      </c>
      <c r="C228" s="681">
        <v>7</v>
      </c>
      <c r="D228" t="s">
        <v>459</v>
      </c>
      <c r="E228"/>
      <c r="F228"/>
      <c r="G228"/>
      <c r="H228"/>
      <c r="I228"/>
      <c r="J228"/>
    </row>
    <row r="229" spans="1:12">
      <c r="B229" s="369" t="s">
        <v>1953</v>
      </c>
      <c r="C229">
        <f>C228/100</f>
        <v>7.0000000000000007E-2</v>
      </c>
      <c r="D229"/>
      <c r="E229"/>
      <c r="F229"/>
      <c r="G229"/>
      <c r="H229"/>
      <c r="I229"/>
      <c r="J229"/>
    </row>
    <row r="230" spans="1:12">
      <c r="B230" s="369" t="s">
        <v>1954</v>
      </c>
      <c r="C230" s="681">
        <v>100</v>
      </c>
      <c r="D230" t="s">
        <v>68</v>
      </c>
      <c r="E230"/>
      <c r="F230"/>
      <c r="G230"/>
      <c r="H230"/>
      <c r="I230"/>
      <c r="J230"/>
    </row>
    <row r="231" spans="1:12">
      <c r="B231" s="369" t="s">
        <v>1955</v>
      </c>
      <c r="C231">
        <f>C230*C229</f>
        <v>7.0000000000000009</v>
      </c>
      <c r="D231" t="s">
        <v>68</v>
      </c>
      <c r="E231"/>
      <c r="F231"/>
      <c r="G231"/>
      <c r="H231"/>
      <c r="I231"/>
      <c r="J231"/>
    </row>
    <row r="232" spans="1:12">
      <c r="B232" s="369"/>
      <c r="C232"/>
      <c r="D232"/>
      <c r="E232"/>
      <c r="F232"/>
      <c r="G232"/>
      <c r="H232"/>
      <c r="I232"/>
      <c r="J232"/>
    </row>
    <row r="233" spans="1:12">
      <c r="B233" s="369" t="s">
        <v>1908</v>
      </c>
      <c r="C233" s="764">
        <f>C231/C230</f>
        <v>7.0000000000000007E-2</v>
      </c>
      <c r="D233"/>
      <c r="E233"/>
      <c r="F233"/>
      <c r="G233"/>
      <c r="H233"/>
      <c r="I233"/>
      <c r="J233"/>
    </row>
    <row r="234" spans="1:12">
      <c r="B234" s="369" t="s">
        <v>1938</v>
      </c>
      <c r="C234">
        <f>ATAN(C233)</f>
        <v>6.9886001634642508E-2</v>
      </c>
      <c r="D234"/>
      <c r="E234"/>
      <c r="F234"/>
      <c r="G234"/>
      <c r="H234"/>
      <c r="I234"/>
      <c r="J234"/>
    </row>
    <row r="235" spans="1:12">
      <c r="B235" s="369" t="s">
        <v>1870</v>
      </c>
      <c r="C235" s="57">
        <f>DEGREES(C234)</f>
        <v>4.0041729407093882</v>
      </c>
      <c r="D235" t="s">
        <v>1846</v>
      </c>
      <c r="E235"/>
      <c r="F235"/>
      <c r="G235"/>
      <c r="H235"/>
      <c r="I235"/>
      <c r="J235"/>
    </row>
    <row r="236" spans="1:12">
      <c r="A236" s="770"/>
      <c r="B236" s="62"/>
      <c r="C236" s="685"/>
      <c r="D236" s="24"/>
      <c r="E236" s="24"/>
      <c r="F236" s="24"/>
      <c r="G236" s="24"/>
      <c r="H236" s="24"/>
      <c r="I236" s="24"/>
      <c r="J236" s="24"/>
      <c r="K236" s="770"/>
    </row>
    <row r="237" spans="1:12">
      <c r="A237" s="770"/>
      <c r="B237" s="62"/>
      <c r="C237" s="685"/>
      <c r="D237" s="24"/>
      <c r="E237" s="24"/>
      <c r="F237" s="24"/>
      <c r="G237" s="24"/>
      <c r="H237" s="24"/>
      <c r="I237" s="24"/>
      <c r="J237" s="24"/>
      <c r="K237" s="770"/>
    </row>
    <row r="238" spans="1:12">
      <c r="A238" s="770"/>
      <c r="B238" s="62"/>
      <c r="C238" s="24"/>
      <c r="D238" s="24"/>
      <c r="E238" s="24"/>
      <c r="F238" s="24"/>
      <c r="G238" s="24"/>
      <c r="H238" s="24"/>
      <c r="I238" s="24"/>
      <c r="J238" s="24"/>
      <c r="K238" s="770"/>
    </row>
    <row r="239" spans="1:12">
      <c r="A239" s="770"/>
      <c r="B239" s="62"/>
      <c r="C239" s="24"/>
      <c r="D239" s="24"/>
      <c r="E239" s="24"/>
      <c r="F239" s="24"/>
      <c r="G239" s="24"/>
      <c r="H239" s="24"/>
      <c r="I239" s="24"/>
      <c r="J239" s="24"/>
      <c r="K239" s="770"/>
    </row>
    <row r="240" spans="1:12">
      <c r="A240" s="770"/>
      <c r="B240" s="345" t="s">
        <v>1956</v>
      </c>
      <c r="C240" s="24"/>
      <c r="D240" s="24"/>
      <c r="E240" s="24"/>
      <c r="F240" s="24"/>
      <c r="G240" s="24"/>
      <c r="H240" s="24"/>
      <c r="I240" s="24"/>
      <c r="J240" s="24"/>
      <c r="K240" s="770"/>
      <c r="L240" s="770"/>
    </row>
    <row r="241" spans="1:12">
      <c r="A241" s="770"/>
      <c r="B241" s="345" t="s">
        <v>1957</v>
      </c>
      <c r="C241" s="24"/>
      <c r="D241" s="24"/>
      <c r="E241" s="24"/>
      <c r="F241" s="24"/>
      <c r="G241" s="24"/>
      <c r="H241" s="24"/>
      <c r="I241" s="24"/>
      <c r="J241" s="24"/>
      <c r="K241" s="770"/>
      <c r="L241" s="770"/>
    </row>
    <row r="242" spans="1:12">
      <c r="A242" s="770"/>
      <c r="B242" s="345" t="s">
        <v>1958</v>
      </c>
      <c r="C242" s="24"/>
      <c r="D242" s="24"/>
      <c r="E242" s="24"/>
      <c r="F242" s="24"/>
      <c r="G242" s="24"/>
      <c r="H242" s="24"/>
      <c r="I242" s="24"/>
      <c r="J242" s="24"/>
      <c r="K242" s="770"/>
      <c r="L242" s="770"/>
    </row>
    <row r="243" spans="1:12">
      <c r="A243" s="770"/>
      <c r="B243" s="62"/>
      <c r="C243" s="24"/>
      <c r="D243" s="24"/>
      <c r="E243" s="24"/>
      <c r="F243" s="24"/>
      <c r="G243" s="24"/>
      <c r="H243" s="24"/>
      <c r="I243" s="24"/>
      <c r="J243" s="24"/>
      <c r="K243" s="770"/>
      <c r="L243" s="770"/>
    </row>
    <row r="244" spans="1:12">
      <c r="A244" s="770"/>
      <c r="B244" s="62"/>
      <c r="C244" s="24"/>
      <c r="D244" s="24"/>
      <c r="E244" s="24"/>
      <c r="F244" s="24"/>
      <c r="G244" s="24"/>
      <c r="H244" s="24"/>
      <c r="I244" s="24"/>
      <c r="J244" s="24"/>
      <c r="K244" s="770"/>
      <c r="L244" s="770"/>
    </row>
    <row r="245" spans="1:12">
      <c r="A245" s="770"/>
      <c r="B245" s="62"/>
      <c r="C245" s="24"/>
      <c r="D245" s="24"/>
      <c r="E245" s="24"/>
      <c r="F245" s="24"/>
      <c r="G245" s="24"/>
      <c r="H245" s="24"/>
      <c r="I245" s="24"/>
      <c r="J245" s="24"/>
      <c r="K245" s="770"/>
      <c r="L245" s="770"/>
    </row>
    <row r="246" spans="1:12">
      <c r="A246" s="770"/>
      <c r="B246" s="62"/>
      <c r="C246" s="24"/>
      <c r="D246" s="24"/>
      <c r="E246" s="24"/>
      <c r="F246" s="24"/>
      <c r="G246" s="24"/>
      <c r="H246" s="24"/>
      <c r="I246" s="24"/>
      <c r="J246" s="24"/>
      <c r="K246" s="770"/>
      <c r="L246" s="770"/>
    </row>
    <row r="247" spans="1:12">
      <c r="A247" s="770"/>
      <c r="B247" s="62"/>
      <c r="C247" s="24"/>
      <c r="D247" s="24"/>
      <c r="E247" s="24"/>
      <c r="F247" s="24"/>
      <c r="G247" s="24"/>
      <c r="H247" s="24"/>
      <c r="I247" s="24"/>
      <c r="J247" s="24"/>
      <c r="K247" s="770"/>
      <c r="L247" s="770"/>
    </row>
    <row r="248" spans="1:12">
      <c r="A248" s="770"/>
      <c r="B248" s="62"/>
      <c r="C248" s="24"/>
      <c r="D248" s="24"/>
      <c r="E248" s="24"/>
      <c r="F248" s="24"/>
      <c r="G248" s="24"/>
      <c r="H248" s="24"/>
      <c r="I248" s="24"/>
      <c r="J248" s="24"/>
      <c r="K248" s="770"/>
      <c r="L248" s="770"/>
    </row>
    <row r="249" spans="1:12">
      <c r="A249" s="770"/>
      <c r="B249" s="62"/>
      <c r="C249" s="24"/>
      <c r="D249" s="24"/>
      <c r="E249" s="24"/>
      <c r="F249" s="24"/>
      <c r="G249" s="24"/>
      <c r="H249" s="24"/>
      <c r="I249" s="24"/>
      <c r="J249" s="24"/>
      <c r="K249" s="770"/>
      <c r="L249" s="770"/>
    </row>
    <row r="250" spans="1:12">
      <c r="A250" s="770"/>
      <c r="B250" s="62"/>
      <c r="C250" s="24"/>
      <c r="D250" s="24"/>
      <c r="E250" s="24"/>
      <c r="F250" s="24"/>
      <c r="G250" s="24"/>
      <c r="H250" s="24"/>
      <c r="I250" s="24"/>
      <c r="J250" s="24"/>
      <c r="K250" s="770"/>
      <c r="L250" s="770"/>
    </row>
    <row r="251" spans="1:12">
      <c r="A251" s="770"/>
      <c r="B251" s="62"/>
      <c r="C251" s="24"/>
      <c r="D251" s="24"/>
      <c r="E251" s="24"/>
      <c r="F251" s="24"/>
      <c r="G251" s="24"/>
      <c r="H251" s="24"/>
      <c r="I251" s="24"/>
      <c r="J251" s="24"/>
      <c r="K251" s="770"/>
      <c r="L251" s="770"/>
    </row>
    <row r="252" spans="1:12">
      <c r="A252" s="770"/>
      <c r="B252" s="62"/>
      <c r="C252" s="24"/>
      <c r="D252" s="24"/>
      <c r="E252" s="24"/>
      <c r="F252" s="24"/>
      <c r="G252" s="24"/>
      <c r="H252" s="24"/>
      <c r="I252" s="24"/>
      <c r="J252" s="24"/>
      <c r="K252" s="770"/>
      <c r="L252" s="770"/>
    </row>
    <row r="253" spans="1:12">
      <c r="A253" s="770"/>
      <c r="B253" s="62"/>
      <c r="C253" s="24"/>
      <c r="D253" s="24"/>
      <c r="E253" s="24"/>
      <c r="F253" s="24"/>
      <c r="G253" s="24"/>
      <c r="H253" s="24"/>
      <c r="I253" s="24"/>
      <c r="J253" s="24"/>
      <c r="K253" s="770"/>
      <c r="L253" s="770"/>
    </row>
    <row r="254" spans="1:12">
      <c r="A254" s="770"/>
      <c r="B254" s="62"/>
      <c r="C254" s="24"/>
      <c r="D254" s="24"/>
      <c r="E254" s="24"/>
      <c r="F254" s="24"/>
      <c r="G254" s="24"/>
      <c r="H254" s="24"/>
      <c r="I254" s="24"/>
      <c r="J254" s="24"/>
      <c r="K254" s="770"/>
      <c r="L254" s="770"/>
    </row>
    <row r="255" spans="1:12">
      <c r="A255" s="770"/>
      <c r="B255" s="62"/>
      <c r="C255" s="24"/>
      <c r="D255" s="24"/>
      <c r="E255" s="24"/>
      <c r="F255" s="24"/>
      <c r="G255" s="24"/>
      <c r="H255" s="24"/>
      <c r="I255" s="24"/>
      <c r="J255" s="24"/>
      <c r="K255" s="770"/>
      <c r="L255" s="770"/>
    </row>
    <row r="256" spans="1:12">
      <c r="B256" s="369" t="s">
        <v>1959</v>
      </c>
      <c r="C256" s="681">
        <v>456</v>
      </c>
      <c r="D256" t="s">
        <v>212</v>
      </c>
      <c r="E256"/>
      <c r="F256"/>
      <c r="G256"/>
      <c r="H256"/>
      <c r="I256"/>
      <c r="J256"/>
    </row>
    <row r="257" spans="2:10">
      <c r="B257" s="369" t="s">
        <v>1774</v>
      </c>
      <c r="C257" s="681">
        <v>36</v>
      </c>
      <c r="D257" t="s">
        <v>212</v>
      </c>
      <c r="E257"/>
      <c r="F257"/>
      <c r="G257"/>
      <c r="H257"/>
      <c r="I257"/>
      <c r="J257"/>
    </row>
    <row r="258" spans="2:10">
      <c r="B258" s="369" t="s">
        <v>520</v>
      </c>
      <c r="C258" s="681">
        <v>16</v>
      </c>
      <c r="D258" t="s">
        <v>212</v>
      </c>
      <c r="E258"/>
      <c r="F258"/>
      <c r="G258"/>
      <c r="H258"/>
      <c r="I258"/>
      <c r="J258"/>
    </row>
    <row r="259" spans="2:10">
      <c r="B259" s="369" t="s">
        <v>1960</v>
      </c>
      <c r="C259">
        <f>C258/2</f>
        <v>8</v>
      </c>
      <c r="D259" t="s">
        <v>212</v>
      </c>
      <c r="E259"/>
      <c r="F259"/>
      <c r="G259"/>
      <c r="H259"/>
      <c r="I259"/>
      <c r="J259"/>
    </row>
    <row r="260" spans="2:10">
      <c r="B260" s="369" t="s">
        <v>1908</v>
      </c>
      <c r="C260" s="764">
        <f>C259/C257</f>
        <v>0.22222222222222221</v>
      </c>
      <c r="D260"/>
      <c r="E260" s="369" t="s">
        <v>1961</v>
      </c>
      <c r="F260"/>
      <c r="G260"/>
      <c r="H260"/>
      <c r="I260"/>
      <c r="J260"/>
    </row>
    <row r="261" spans="2:10">
      <c r="B261" s="369" t="s">
        <v>1938</v>
      </c>
      <c r="C261">
        <f>ATAN(C260)</f>
        <v>0.21866894587394195</v>
      </c>
      <c r="D261"/>
      <c r="E261"/>
      <c r="F261"/>
      <c r="G261"/>
      <c r="H261"/>
      <c r="I261"/>
      <c r="J261"/>
    </row>
    <row r="262" spans="2:10">
      <c r="B262" s="369" t="s">
        <v>1962</v>
      </c>
      <c r="C262" s="57">
        <f>DEGREES(C261)</f>
        <v>12.528807709151511</v>
      </c>
      <c r="D262"/>
      <c r="E262"/>
      <c r="F262"/>
      <c r="G262"/>
      <c r="H262"/>
      <c r="I262"/>
      <c r="J262"/>
    </row>
    <row r="263" spans="2:10">
      <c r="B263" s="369" t="s">
        <v>1963</v>
      </c>
      <c r="C263" s="57">
        <f>C262*2</f>
        <v>25.057615418303023</v>
      </c>
      <c r="D263" t="s">
        <v>1846</v>
      </c>
      <c r="E263"/>
      <c r="F263"/>
      <c r="G263"/>
      <c r="H263"/>
      <c r="I263"/>
      <c r="J263"/>
    </row>
    <row r="264" spans="2:10">
      <c r="B264" s="369"/>
      <c r="C264"/>
      <c r="D264"/>
      <c r="E264"/>
      <c r="F264"/>
      <c r="G264"/>
      <c r="H264"/>
      <c r="I264"/>
      <c r="J264"/>
    </row>
    <row r="265" spans="2:10">
      <c r="B265" s="369" t="s">
        <v>1964</v>
      </c>
      <c r="C265" s="57">
        <f>C256*C260</f>
        <v>101.33333333333333</v>
      </c>
      <c r="D265" t="s">
        <v>212</v>
      </c>
      <c r="E265" t="s">
        <v>1965</v>
      </c>
      <c r="F265"/>
      <c r="G265"/>
      <c r="H265"/>
      <c r="I265"/>
      <c r="J265"/>
    </row>
    <row r="266" spans="2:10">
      <c r="B266" s="369" t="s">
        <v>1966</v>
      </c>
      <c r="C266" s="57">
        <f>C265*2</f>
        <v>202.66666666666666</v>
      </c>
      <c r="D266" t="s">
        <v>212</v>
      </c>
      <c r="E266" t="s">
        <v>1967</v>
      </c>
      <c r="F266"/>
      <c r="G266"/>
      <c r="H266"/>
      <c r="I266"/>
      <c r="J266"/>
    </row>
    <row r="267" spans="2:10">
      <c r="B267" s="369"/>
      <c r="C267" s="57"/>
      <c r="D267"/>
      <c r="E267"/>
      <c r="F267"/>
      <c r="G267"/>
      <c r="H267"/>
      <c r="I267"/>
      <c r="J267"/>
    </row>
    <row r="268" spans="2:10">
      <c r="B268" s="369"/>
      <c r="C268" s="57"/>
      <c r="D268"/>
      <c r="E268"/>
      <c r="F268"/>
      <c r="G268"/>
      <c r="H268"/>
      <c r="I268"/>
      <c r="J268"/>
    </row>
    <row r="269" spans="2:10">
      <c r="B269" s="369"/>
      <c r="C269"/>
      <c r="D269"/>
      <c r="E269"/>
      <c r="F269"/>
      <c r="G269"/>
      <c r="H269"/>
      <c r="I269"/>
      <c r="J269"/>
    </row>
    <row r="270" spans="2:10">
      <c r="B270" s="369"/>
      <c r="C270"/>
      <c r="D270"/>
      <c r="E270"/>
      <c r="F270"/>
      <c r="G270"/>
      <c r="H270"/>
      <c r="I270"/>
      <c r="J270"/>
    </row>
    <row r="271" spans="2:10">
      <c r="B271" s="440" t="s">
        <v>1968</v>
      </c>
      <c r="C271"/>
      <c r="D271"/>
      <c r="E271"/>
      <c r="F271"/>
      <c r="G271"/>
      <c r="H271"/>
      <c r="I271"/>
      <c r="J271"/>
    </row>
    <row r="272" spans="2:10">
      <c r="B272" s="440" t="s">
        <v>1969</v>
      </c>
      <c r="C272"/>
      <c r="D272"/>
      <c r="E272"/>
      <c r="F272"/>
      <c r="G272"/>
      <c r="H272"/>
      <c r="I272"/>
      <c r="J272"/>
    </row>
    <row r="273" spans="2:10">
      <c r="B273" s="440" t="s">
        <v>1970</v>
      </c>
      <c r="C273"/>
      <c r="D273"/>
      <c r="E273"/>
      <c r="F273"/>
      <c r="G273"/>
      <c r="H273"/>
      <c r="I273"/>
      <c r="J273"/>
    </row>
    <row r="274" spans="2:10">
      <c r="B274" s="369"/>
      <c r="C274"/>
      <c r="D274"/>
      <c r="E274"/>
      <c r="F274"/>
      <c r="G274"/>
      <c r="H274"/>
      <c r="I274"/>
      <c r="J274"/>
    </row>
    <row r="275" spans="2:10">
      <c r="B275" s="369"/>
      <c r="C275"/>
      <c r="D275"/>
      <c r="E275"/>
      <c r="F275"/>
      <c r="G275"/>
      <c r="H275"/>
      <c r="I275"/>
      <c r="J275"/>
    </row>
    <row r="276" spans="2:10">
      <c r="B276" s="369"/>
      <c r="C276"/>
      <c r="D276"/>
      <c r="E276"/>
      <c r="F276"/>
      <c r="G276"/>
      <c r="H276"/>
      <c r="I276"/>
      <c r="J276"/>
    </row>
    <row r="277" spans="2:10">
      <c r="B277" s="369"/>
      <c r="C277"/>
      <c r="D277"/>
      <c r="E277"/>
      <c r="F277"/>
      <c r="G277"/>
      <c r="H277"/>
      <c r="I277"/>
      <c r="J277"/>
    </row>
    <row r="278" spans="2:10">
      <c r="B278" s="369"/>
      <c r="C278"/>
      <c r="D278"/>
      <c r="E278"/>
      <c r="F278"/>
      <c r="G278"/>
      <c r="H278"/>
      <c r="I278"/>
      <c r="J278"/>
    </row>
    <row r="279" spans="2:10">
      <c r="B279" s="369"/>
      <c r="C279"/>
      <c r="D279"/>
      <c r="E279"/>
      <c r="F279"/>
      <c r="G279"/>
      <c r="H279"/>
      <c r="I279"/>
      <c r="J279"/>
    </row>
    <row r="280" spans="2:10">
      <c r="B280" s="369"/>
      <c r="C280"/>
      <c r="D280"/>
      <c r="E280"/>
      <c r="F280"/>
      <c r="G280"/>
      <c r="H280"/>
      <c r="I280"/>
      <c r="J280"/>
    </row>
    <row r="281" spans="2:10">
      <c r="B281" s="369"/>
      <c r="C281"/>
      <c r="D281"/>
      <c r="E281"/>
      <c r="F281"/>
      <c r="G281"/>
      <c r="H281"/>
      <c r="I281"/>
      <c r="J281"/>
    </row>
    <row r="282" spans="2:10">
      <c r="B282" s="369"/>
      <c r="C282"/>
      <c r="D282"/>
      <c r="E282"/>
      <c r="F282"/>
      <c r="G282"/>
      <c r="H282"/>
      <c r="I282"/>
      <c r="J282"/>
    </row>
    <row r="283" spans="2:10">
      <c r="B283" s="369"/>
      <c r="C283"/>
      <c r="D283"/>
      <c r="E283"/>
      <c r="F283"/>
      <c r="G283"/>
      <c r="H283"/>
      <c r="I283"/>
      <c r="J283"/>
    </row>
    <row r="284" spans="2:10">
      <c r="B284" s="369"/>
      <c r="C284"/>
      <c r="D284"/>
      <c r="E284"/>
      <c r="F284"/>
      <c r="G284"/>
      <c r="H284"/>
      <c r="I284"/>
      <c r="J284"/>
    </row>
    <row r="285" spans="2:10">
      <c r="B285" s="369"/>
      <c r="C285"/>
      <c r="D285"/>
      <c r="E285"/>
      <c r="F285"/>
      <c r="G285"/>
      <c r="H285"/>
      <c r="I285"/>
      <c r="J285"/>
    </row>
    <row r="286" spans="2:10">
      <c r="B286" s="369"/>
      <c r="C286"/>
      <c r="D286"/>
      <c r="E286"/>
      <c r="F286"/>
      <c r="G286"/>
      <c r="H286"/>
      <c r="I286"/>
      <c r="J286"/>
    </row>
    <row r="287" spans="2:10">
      <c r="B287" s="369" t="s">
        <v>1959</v>
      </c>
      <c r="C287" s="681">
        <v>500</v>
      </c>
      <c r="D287" t="s">
        <v>212</v>
      </c>
      <c r="E287"/>
      <c r="F287"/>
      <c r="G287"/>
      <c r="H287"/>
      <c r="I287"/>
      <c r="J287"/>
    </row>
    <row r="288" spans="2:10">
      <c r="B288" s="369" t="s">
        <v>1971</v>
      </c>
      <c r="C288" s="681">
        <v>360</v>
      </c>
      <c r="D288" t="s">
        <v>212</v>
      </c>
      <c r="E288"/>
      <c r="F288"/>
      <c r="G288"/>
      <c r="H288"/>
      <c r="I288"/>
      <c r="J288"/>
    </row>
    <row r="289" spans="2:10">
      <c r="B289" s="369" t="s">
        <v>1972</v>
      </c>
      <c r="C289">
        <f>C288/2</f>
        <v>180</v>
      </c>
      <c r="D289" t="s">
        <v>212</v>
      </c>
      <c r="E289"/>
      <c r="F289"/>
      <c r="G289"/>
      <c r="H289"/>
      <c r="I289"/>
      <c r="J289"/>
    </row>
    <row r="290" spans="2:10">
      <c r="B290" s="369" t="s">
        <v>520</v>
      </c>
      <c r="C290" s="681">
        <v>12</v>
      </c>
      <c r="D290" t="s">
        <v>212</v>
      </c>
      <c r="E290"/>
      <c r="F290"/>
      <c r="G290"/>
      <c r="H290"/>
      <c r="I290"/>
      <c r="J290"/>
    </row>
    <row r="291" spans="2:10">
      <c r="B291" s="369" t="s">
        <v>1973</v>
      </c>
      <c r="C291">
        <f>C290/2</f>
        <v>6</v>
      </c>
      <c r="D291" t="s">
        <v>212</v>
      </c>
      <c r="E291"/>
      <c r="F291"/>
      <c r="G291"/>
      <c r="H291"/>
      <c r="I291"/>
      <c r="J291"/>
    </row>
    <row r="292" spans="2:10">
      <c r="B292" s="369"/>
      <c r="C292"/>
      <c r="D292"/>
      <c r="E292"/>
      <c r="F292"/>
      <c r="G292"/>
      <c r="H292"/>
      <c r="I292"/>
      <c r="J292"/>
    </row>
    <row r="293" spans="2:10">
      <c r="B293" s="369" t="s">
        <v>1908</v>
      </c>
      <c r="C293" s="764">
        <f>C289/C287</f>
        <v>0.36</v>
      </c>
      <c r="D293"/>
      <c r="E293" s="369" t="s">
        <v>1974</v>
      </c>
      <c r="F293"/>
      <c r="G293"/>
      <c r="H293"/>
      <c r="I293"/>
      <c r="J293"/>
    </row>
    <row r="294" spans="2:10">
      <c r="B294" s="369" t="s">
        <v>1938</v>
      </c>
      <c r="C294">
        <f>ATAN(C293)</f>
        <v>0.34555558058171215</v>
      </c>
      <c r="D294"/>
      <c r="E294"/>
      <c r="F294"/>
      <c r="G294"/>
      <c r="H294"/>
      <c r="I294"/>
      <c r="J294"/>
    </row>
    <row r="295" spans="2:10">
      <c r="B295" s="369" t="s">
        <v>1962</v>
      </c>
      <c r="C295" s="57">
        <f>DEGREES(C294)</f>
        <v>19.798876354524932</v>
      </c>
      <c r="D295"/>
      <c r="E295"/>
      <c r="F295"/>
      <c r="G295"/>
      <c r="H295"/>
      <c r="I295"/>
      <c r="J295"/>
    </row>
    <row r="296" spans="2:10">
      <c r="B296" s="369" t="s">
        <v>1963</v>
      </c>
      <c r="C296" s="57">
        <f>C295*2</f>
        <v>39.597752709049864</v>
      </c>
      <c r="D296" t="s">
        <v>1846</v>
      </c>
      <c r="E296"/>
      <c r="F296"/>
      <c r="G296"/>
      <c r="H296"/>
      <c r="I296"/>
      <c r="J296"/>
    </row>
    <row r="297" spans="2:10">
      <c r="B297" s="369"/>
      <c r="C297"/>
      <c r="D297"/>
      <c r="E297"/>
      <c r="F297"/>
      <c r="G297"/>
      <c r="H297"/>
      <c r="I297"/>
      <c r="J297"/>
    </row>
    <row r="298" spans="2:10">
      <c r="B298" s="369" t="s">
        <v>1774</v>
      </c>
      <c r="C298" s="57">
        <f>C291/C293</f>
        <v>16.666666666666668</v>
      </c>
      <c r="D298" t="s">
        <v>212</v>
      </c>
      <c r="E298" t="s">
        <v>1975</v>
      </c>
      <c r="F298"/>
      <c r="G298"/>
      <c r="H298"/>
      <c r="I298"/>
      <c r="J298"/>
    </row>
    <row r="299" spans="2:10">
      <c r="B299" s="369"/>
      <c r="C299"/>
      <c r="D299"/>
      <c r="E299"/>
      <c r="F299"/>
      <c r="G299"/>
      <c r="H299"/>
      <c r="I299"/>
      <c r="J299"/>
    </row>
    <row r="305" spans="2:14">
      <c r="B305" t="s">
        <v>0</v>
      </c>
      <c r="C305"/>
      <c r="D305"/>
      <c r="E305"/>
      <c r="F305"/>
      <c r="G305"/>
      <c r="H305" s="1"/>
      <c r="I305" s="1"/>
      <c r="J305" s="1"/>
      <c r="K305" s="1"/>
      <c r="L305"/>
      <c r="M305"/>
      <c r="N305"/>
    </row>
    <row r="306" spans="2:14">
      <c r="B306"/>
      <c r="C306"/>
      <c r="D306"/>
      <c r="E306"/>
      <c r="F306"/>
      <c r="G306"/>
      <c r="H306" s="1"/>
      <c r="I306" s="1"/>
      <c r="J306" s="1"/>
      <c r="K306" s="1"/>
      <c r="L306"/>
      <c r="M306"/>
      <c r="N306"/>
    </row>
    <row r="307" spans="2:14">
      <c r="B307" s="298" t="s">
        <v>1976</v>
      </c>
      <c r="C307"/>
      <c r="D307"/>
      <c r="E307"/>
      <c r="F307"/>
      <c r="G307"/>
      <c r="H307" s="1"/>
      <c r="I307" s="1"/>
      <c r="J307" s="1"/>
      <c r="K307" s="1"/>
      <c r="L307"/>
      <c r="M307"/>
      <c r="N307"/>
    </row>
    <row r="308" spans="2:14">
      <c r="B308" s="298" t="s">
        <v>1977</v>
      </c>
      <c r="C308"/>
      <c r="D308"/>
      <c r="E308"/>
      <c r="F308"/>
      <c r="G308"/>
      <c r="H308" s="1"/>
      <c r="I308" s="1"/>
      <c r="J308" s="1"/>
      <c r="K308" s="1"/>
      <c r="L308"/>
      <c r="M308"/>
      <c r="N308"/>
    </row>
    <row r="309" spans="2:14">
      <c r="B309" s="298" t="s">
        <v>1978</v>
      </c>
      <c r="C309"/>
      <c r="D309"/>
      <c r="E309"/>
      <c r="F309"/>
      <c r="G309"/>
      <c r="H309" s="1"/>
      <c r="I309" s="1"/>
      <c r="J309" s="1"/>
      <c r="K309" s="1"/>
      <c r="L309"/>
      <c r="M309"/>
      <c r="N309"/>
    </row>
    <row r="310" spans="2:14">
      <c r="B310"/>
      <c r="C310"/>
      <c r="D310"/>
      <c r="E310"/>
      <c r="F310"/>
      <c r="G310"/>
      <c r="H310" s="1"/>
      <c r="I310" s="1"/>
      <c r="J310" s="1"/>
      <c r="K310" s="1"/>
      <c r="L310"/>
      <c r="M310"/>
      <c r="N310"/>
    </row>
    <row r="311" spans="2:14">
      <c r="B311"/>
      <c r="C311"/>
      <c r="D311"/>
      <c r="E311"/>
      <c r="F311"/>
      <c r="G311"/>
      <c r="H311" s="1"/>
      <c r="I311" s="1"/>
      <c r="J311" s="1"/>
      <c r="K311" s="1"/>
      <c r="L311"/>
      <c r="M311"/>
      <c r="N311"/>
    </row>
    <row r="312" spans="2:14">
      <c r="B312"/>
      <c r="C312"/>
      <c r="D312"/>
      <c r="E312"/>
      <c r="F312"/>
      <c r="G312"/>
      <c r="H312" s="1"/>
      <c r="I312" s="1"/>
      <c r="J312" s="1"/>
      <c r="K312" s="1"/>
      <c r="L312"/>
      <c r="M312"/>
      <c r="N312"/>
    </row>
    <row r="313" spans="2:14">
      <c r="B313"/>
      <c r="C313"/>
      <c r="D313"/>
      <c r="E313"/>
      <c r="F313"/>
      <c r="G313"/>
      <c r="H313" s="1"/>
      <c r="I313" s="1"/>
      <c r="J313" s="1"/>
      <c r="K313" s="1"/>
      <c r="L313"/>
      <c r="M313"/>
      <c r="N313"/>
    </row>
    <row r="314" spans="2:14">
      <c r="B314"/>
      <c r="C314"/>
      <c r="D314"/>
      <c r="E314"/>
      <c r="F314"/>
      <c r="G314"/>
      <c r="H314" s="1"/>
      <c r="I314" s="1"/>
      <c r="J314" s="1"/>
      <c r="K314" s="1"/>
      <c r="L314"/>
      <c r="M314"/>
      <c r="N314"/>
    </row>
    <row r="315" spans="2:14">
      <c r="B315"/>
      <c r="C315"/>
      <c r="D315"/>
      <c r="E315"/>
      <c r="F315"/>
      <c r="G315"/>
      <c r="H315" s="1"/>
      <c r="I315" s="1"/>
      <c r="J315" s="1"/>
      <c r="K315" s="1"/>
      <c r="L315"/>
      <c r="M315"/>
      <c r="N315"/>
    </row>
    <row r="316" spans="2:14">
      <c r="B316"/>
      <c r="C316"/>
      <c r="D316"/>
      <c r="E316"/>
      <c r="F316"/>
      <c r="G316"/>
      <c r="H316" s="1"/>
      <c r="I316" s="1"/>
      <c r="J316" s="1"/>
      <c r="K316" s="1"/>
      <c r="L316"/>
      <c r="M316"/>
      <c r="N316"/>
    </row>
    <row r="317" spans="2:14">
      <c r="B317"/>
      <c r="C317"/>
      <c r="D317"/>
      <c r="E317"/>
      <c r="F317"/>
      <c r="G317"/>
      <c r="H317" s="1"/>
      <c r="I317" s="1"/>
      <c r="J317" s="1"/>
      <c r="K317" s="1"/>
      <c r="L317"/>
      <c r="M317"/>
      <c r="N317"/>
    </row>
    <row r="318" spans="2:14">
      <c r="B318"/>
      <c r="C318"/>
      <c r="D318"/>
      <c r="E318"/>
      <c r="F318"/>
      <c r="G318"/>
      <c r="H318" s="1"/>
      <c r="I318" s="1"/>
      <c r="J318" s="1"/>
      <c r="K318" s="1"/>
      <c r="L318"/>
      <c r="M318"/>
      <c r="N318"/>
    </row>
    <row r="319" spans="2:14">
      <c r="B319"/>
      <c r="C319"/>
      <c r="D319"/>
      <c r="E319" t="s">
        <v>1863</v>
      </c>
      <c r="F319"/>
      <c r="G319"/>
      <c r="H319" s="1"/>
      <c r="I319" s="1"/>
      <c r="J319" s="1"/>
      <c r="K319" s="1"/>
      <c r="L319"/>
      <c r="M319"/>
      <c r="N319"/>
    </row>
    <row r="320" spans="2:14">
      <c r="B320"/>
      <c r="C320"/>
      <c r="D320"/>
      <c r="E320"/>
      <c r="F320"/>
      <c r="G320"/>
      <c r="H320" s="1"/>
      <c r="I320" s="1"/>
      <c r="J320" s="1"/>
      <c r="K320" s="1"/>
      <c r="L320"/>
      <c r="M320"/>
      <c r="N320"/>
    </row>
    <row r="321" spans="1:15">
      <c r="B321"/>
      <c r="C321"/>
      <c r="D321"/>
      <c r="E321"/>
      <c r="F321"/>
      <c r="G321"/>
      <c r="H321" s="1"/>
      <c r="I321" s="1"/>
      <c r="J321" s="1"/>
      <c r="K321" s="1"/>
      <c r="L321"/>
      <c r="M321"/>
      <c r="N321"/>
    </row>
    <row r="322" spans="1:15">
      <c r="B322"/>
      <c r="C322"/>
      <c r="D322"/>
      <c r="E322"/>
      <c r="F322"/>
      <c r="G322"/>
      <c r="H322" s="1"/>
      <c r="I322" s="1"/>
      <c r="J322" s="1"/>
      <c r="K322" s="1"/>
      <c r="L322"/>
      <c r="M322"/>
      <c r="N322"/>
    </row>
    <row r="323" spans="1:15">
      <c r="B323"/>
      <c r="C323"/>
      <c r="D323"/>
      <c r="E323"/>
      <c r="F323"/>
      <c r="G323"/>
      <c r="H323" s="1"/>
      <c r="I323" s="1"/>
      <c r="J323" s="1"/>
      <c r="K323" s="1"/>
      <c r="L323"/>
      <c r="M323"/>
      <c r="N323"/>
    </row>
    <row r="324" spans="1:15">
      <c r="B324"/>
      <c r="C324"/>
      <c r="D324"/>
      <c r="E324"/>
      <c r="F324"/>
      <c r="G324"/>
      <c r="H324" s="1"/>
      <c r="I324" s="1"/>
      <c r="J324" s="1"/>
      <c r="K324" s="1"/>
      <c r="L324"/>
      <c r="M324"/>
      <c r="N324"/>
    </row>
    <row r="325" spans="1:15">
      <c r="B325" s="298" t="s">
        <v>1979</v>
      </c>
      <c r="C325"/>
      <c r="D325"/>
      <c r="E325"/>
      <c r="F325"/>
      <c r="G325"/>
      <c r="H325" s="1"/>
      <c r="I325" s="1"/>
      <c r="J325" s="1"/>
      <c r="K325" s="1"/>
      <c r="L325"/>
      <c r="M325"/>
      <c r="N325"/>
    </row>
    <row r="326" spans="1:15">
      <c r="B326" t="s">
        <v>1980</v>
      </c>
      <c r="C326"/>
      <c r="D326"/>
      <c r="E326"/>
      <c r="F326"/>
      <c r="G326"/>
      <c r="H326" s="1"/>
      <c r="I326" s="1"/>
      <c r="J326" s="1"/>
      <c r="K326" s="1"/>
      <c r="L326"/>
      <c r="M326"/>
      <c r="N326"/>
    </row>
    <row r="327" spans="1:15">
      <c r="B327" t="s">
        <v>1981</v>
      </c>
      <c r="C327"/>
      <c r="D327"/>
      <c r="E327"/>
      <c r="F327"/>
      <c r="G327"/>
      <c r="H327" s="1"/>
      <c r="I327" s="1"/>
      <c r="J327" s="1"/>
      <c r="K327" s="1"/>
      <c r="L327"/>
      <c r="M327"/>
      <c r="N327"/>
    </row>
    <row r="328" spans="1:15">
      <c r="B328" t="s">
        <v>1982</v>
      </c>
      <c r="C328"/>
      <c r="D328"/>
      <c r="E328"/>
      <c r="F328"/>
      <c r="G328"/>
      <c r="H328" s="1"/>
      <c r="I328" s="1"/>
      <c r="J328" s="1"/>
      <c r="K328" s="1"/>
      <c r="L328"/>
      <c r="M328"/>
      <c r="N328"/>
    </row>
    <row r="329" spans="1:15">
      <c r="B329"/>
      <c r="C329"/>
      <c r="D329"/>
      <c r="E329"/>
      <c r="F329"/>
      <c r="G329"/>
      <c r="H329" s="1"/>
      <c r="I329" s="1"/>
      <c r="J329" s="1"/>
      <c r="K329" s="1"/>
      <c r="L329"/>
      <c r="M329"/>
      <c r="N329"/>
    </row>
    <row r="330" spans="1:15">
      <c r="B330" s="298" t="s">
        <v>1983</v>
      </c>
      <c r="C330"/>
      <c r="D330"/>
      <c r="E330"/>
      <c r="F330"/>
      <c r="G330"/>
      <c r="H330" s="1"/>
      <c r="I330" s="1"/>
      <c r="J330" s="1"/>
      <c r="K330" s="1"/>
      <c r="L330"/>
      <c r="M330"/>
      <c r="N330"/>
    </row>
    <row r="331" spans="1:15">
      <c r="A331" s="770"/>
      <c r="B331" s="24"/>
      <c r="C331" s="24"/>
      <c r="D331" s="24"/>
      <c r="E331" s="24"/>
      <c r="F331" s="24"/>
      <c r="G331" s="24"/>
      <c r="H331" s="24"/>
      <c r="I331" s="24"/>
      <c r="J331" s="24"/>
      <c r="K331" s="24"/>
      <c r="L331" s="24"/>
      <c r="M331" s="24"/>
      <c r="N331" s="24"/>
      <c r="O331" s="770"/>
    </row>
    <row r="332" spans="1:15">
      <c r="A332" s="770"/>
      <c r="B332" s="24"/>
      <c r="C332" s="24"/>
      <c r="D332" s="24"/>
      <c r="E332" s="24"/>
      <c r="F332" s="24"/>
      <c r="G332" s="24"/>
      <c r="H332" s="24"/>
      <c r="I332" s="24"/>
      <c r="J332" s="24"/>
      <c r="K332" s="24"/>
      <c r="L332" s="24"/>
      <c r="M332" s="24"/>
      <c r="N332" s="24"/>
      <c r="O332" s="770"/>
    </row>
    <row r="333" spans="1:15">
      <c r="A333" s="770"/>
      <c r="B333" s="24"/>
      <c r="C333" s="24"/>
      <c r="D333" s="24"/>
      <c r="E333" s="24"/>
      <c r="F333" s="24"/>
      <c r="G333" s="24"/>
      <c r="H333" s="24"/>
      <c r="I333" s="24"/>
      <c r="J333" s="24"/>
      <c r="K333" s="24"/>
      <c r="L333" s="24"/>
      <c r="M333" s="24"/>
      <c r="N333" s="24"/>
      <c r="O333" s="770"/>
    </row>
    <row r="334" spans="1:15">
      <c r="A334" s="770"/>
      <c r="B334" s="65" t="s">
        <v>1984</v>
      </c>
      <c r="C334" s="24"/>
      <c r="D334" s="24"/>
      <c r="E334" s="24"/>
      <c r="F334" s="24"/>
      <c r="G334" s="24"/>
      <c r="H334" s="24"/>
      <c r="I334" s="24"/>
      <c r="J334" s="24"/>
      <c r="K334" s="24"/>
      <c r="L334" s="24"/>
      <c r="M334" s="24"/>
      <c r="N334" s="24"/>
      <c r="O334" s="770"/>
    </row>
    <row r="335" spans="1:15">
      <c r="B335" s="2" t="s">
        <v>1985</v>
      </c>
      <c r="C335" s="1"/>
      <c r="D335" s="1"/>
      <c r="E335" s="1"/>
      <c r="F335" s="1"/>
      <c r="G335" s="1"/>
      <c r="H335" s="1"/>
      <c r="I335" s="1"/>
      <c r="J335" s="1"/>
      <c r="K335" s="1"/>
      <c r="L335" s="1"/>
      <c r="M335" s="1"/>
      <c r="N335" s="1"/>
    </row>
    <row r="336" spans="1:15">
      <c r="B336" s="2" t="s">
        <v>1986</v>
      </c>
      <c r="C336" s="1"/>
      <c r="D336" s="1"/>
      <c r="E336" s="1"/>
      <c r="F336" s="1"/>
      <c r="G336" s="1"/>
      <c r="H336" s="1"/>
      <c r="I336" s="1"/>
      <c r="J336" s="1"/>
      <c r="K336" s="1"/>
      <c r="L336" s="1"/>
      <c r="M336" s="1"/>
      <c r="N336" s="1"/>
    </row>
    <row r="337" spans="2:14">
      <c r="B337" s="2" t="s">
        <v>1987</v>
      </c>
      <c r="C337" s="1"/>
      <c r="D337" s="1"/>
      <c r="E337" s="1"/>
      <c r="F337" s="1"/>
      <c r="G337" s="1"/>
      <c r="H337" s="1"/>
      <c r="I337" s="1"/>
      <c r="J337" s="1"/>
      <c r="K337" s="1"/>
      <c r="L337" s="1"/>
      <c r="M337" s="1"/>
      <c r="N337" s="1"/>
    </row>
    <row r="338" spans="2:14">
      <c r="B338" s="1"/>
      <c r="C338" s="1"/>
      <c r="D338" s="1"/>
      <c r="E338" s="1"/>
      <c r="F338" s="1"/>
      <c r="G338" s="1"/>
      <c r="H338" s="1"/>
      <c r="I338" s="1"/>
      <c r="J338" s="1"/>
      <c r="K338" s="1"/>
      <c r="L338" s="1"/>
      <c r="M338" s="1"/>
      <c r="N338" s="1"/>
    </row>
    <row r="339" spans="2:14">
      <c r="B339" s="765" t="s">
        <v>924</v>
      </c>
      <c r="C339" s="1"/>
      <c r="D339" s="1"/>
      <c r="E339" s="1"/>
      <c r="F339" s="1"/>
      <c r="G339" s="1"/>
      <c r="H339" s="1"/>
      <c r="I339" s="1"/>
      <c r="J339" s="1"/>
      <c r="K339" s="1"/>
      <c r="L339" s="1"/>
      <c r="M339" s="1"/>
      <c r="N339" s="1"/>
    </row>
    <row r="340" spans="2:14">
      <c r="B340" s="1"/>
      <c r="C340" s="1"/>
      <c r="D340" s="1"/>
      <c r="E340" s="1"/>
      <c r="F340" s="1"/>
      <c r="G340" s="1"/>
      <c r="H340" s="1"/>
      <c r="I340" s="1"/>
      <c r="J340" s="1"/>
      <c r="K340" s="1"/>
      <c r="L340" s="1"/>
      <c r="M340" s="1"/>
      <c r="N340" s="1"/>
    </row>
    <row r="341" spans="2:14">
      <c r="B341" s="165" t="s">
        <v>1988</v>
      </c>
      <c r="C341" s="326">
        <v>900</v>
      </c>
      <c r="D341" s="1" t="s">
        <v>68</v>
      </c>
      <c r="E341" s="1"/>
      <c r="F341" s="1"/>
      <c r="G341" s="1"/>
      <c r="H341" s="1"/>
      <c r="I341" s="1"/>
      <c r="J341" s="1"/>
      <c r="K341" s="1"/>
      <c r="L341" s="1"/>
      <c r="M341" s="1"/>
      <c r="N341" s="1"/>
    </row>
    <row r="342" spans="2:14">
      <c r="B342" s="165" t="s">
        <v>1989</v>
      </c>
      <c r="C342" s="326">
        <v>75</v>
      </c>
      <c r="D342" s="1" t="s">
        <v>68</v>
      </c>
      <c r="E342" s="1"/>
      <c r="F342" s="1"/>
      <c r="G342" s="1"/>
      <c r="H342" s="1"/>
      <c r="I342" s="1"/>
      <c r="J342" s="1"/>
      <c r="K342" s="1"/>
      <c r="L342" s="1"/>
      <c r="M342" s="1"/>
      <c r="N342" s="1"/>
    </row>
    <row r="343" spans="2:14">
      <c r="B343" s="165"/>
      <c r="C343" s="1"/>
      <c r="D343" s="1"/>
      <c r="E343" s="1"/>
      <c r="F343" s="1"/>
      <c r="G343" s="1"/>
      <c r="H343" s="1"/>
      <c r="I343" s="1"/>
      <c r="J343" s="1"/>
      <c r="K343" s="1"/>
      <c r="L343" s="1"/>
      <c r="M343" s="1"/>
      <c r="N343" s="1"/>
    </row>
    <row r="344" spans="2:14">
      <c r="B344" s="165" t="s">
        <v>1901</v>
      </c>
      <c r="C344" s="1">
        <f>C342/C341</f>
        <v>8.3333333333333329E-2</v>
      </c>
      <c r="D344" s="1"/>
      <c r="E344" s="1" t="s">
        <v>1990</v>
      </c>
      <c r="F344" s="1"/>
      <c r="G344" s="1"/>
      <c r="H344" s="1"/>
      <c r="I344" s="1"/>
      <c r="J344" s="1"/>
      <c r="K344" s="1"/>
      <c r="L344" s="1"/>
      <c r="M344" s="1"/>
      <c r="N344" s="1"/>
    </row>
    <row r="345" spans="2:14">
      <c r="B345" s="165" t="s">
        <v>1991</v>
      </c>
      <c r="C345" s="678">
        <f>ASIN(C344)</f>
        <v>8.343008661061499E-2</v>
      </c>
      <c r="D345" s="1"/>
      <c r="E345" s="1" t="s">
        <v>1992</v>
      </c>
      <c r="F345" s="1"/>
      <c r="G345" s="1"/>
      <c r="H345" s="1"/>
      <c r="I345" s="1"/>
      <c r="J345" s="1"/>
      <c r="K345" s="1"/>
      <c r="L345" s="1"/>
      <c r="M345" s="1"/>
      <c r="N345" s="1"/>
    </row>
    <row r="346" spans="2:14">
      <c r="B346" s="165" t="s">
        <v>1870</v>
      </c>
      <c r="C346" s="1">
        <f>DEGREES(C345)</f>
        <v>4.7801918471991582</v>
      </c>
      <c r="D346" s="1" t="s">
        <v>1846</v>
      </c>
      <c r="E346" s="1" t="s">
        <v>1993</v>
      </c>
      <c r="F346" s="1"/>
      <c r="G346" s="1"/>
      <c r="H346" s="1"/>
      <c r="I346" s="1"/>
      <c r="J346" s="1"/>
      <c r="K346" s="1"/>
      <c r="L346" s="1"/>
      <c r="M346" s="1"/>
      <c r="N346" s="1"/>
    </row>
    <row r="347" spans="2:14">
      <c r="B347" s="1"/>
      <c r="C347" s="1"/>
      <c r="D347" s="1"/>
      <c r="E347" s="1"/>
      <c r="F347" s="1"/>
      <c r="G347" s="1"/>
      <c r="H347" s="1"/>
      <c r="I347" s="1"/>
      <c r="J347" s="1"/>
      <c r="K347" s="1"/>
      <c r="L347" s="1"/>
      <c r="M347" s="1"/>
      <c r="N347" s="1"/>
    </row>
    <row r="348" spans="2:14">
      <c r="B348" s="1" t="s">
        <v>1994</v>
      </c>
      <c r="C348" s="381">
        <f>1*C346/45</f>
        <v>0.10622648549331462</v>
      </c>
      <c r="D348" s="1"/>
      <c r="E348" s="1"/>
      <c r="F348" s="1"/>
      <c r="G348" s="1"/>
      <c r="H348" s="1"/>
      <c r="I348" s="1"/>
      <c r="J348" s="1"/>
      <c r="K348" s="1"/>
      <c r="L348" s="1"/>
      <c r="M348" s="1"/>
      <c r="N348" s="1"/>
    </row>
    <row r="349" spans="2:14">
      <c r="B349" s="1"/>
      <c r="C349" s="1"/>
      <c r="D349" s="1"/>
      <c r="E349" s="1"/>
      <c r="F349" s="1"/>
      <c r="G349" s="1"/>
      <c r="H349" s="1"/>
      <c r="I349" s="1"/>
      <c r="J349" s="1"/>
      <c r="K349" s="1"/>
      <c r="L349" s="1"/>
      <c r="M349" s="1"/>
      <c r="N349" s="1"/>
    </row>
    <row r="350" spans="2:14">
      <c r="B350" s="1" t="s">
        <v>1995</v>
      </c>
      <c r="C350" s="1"/>
      <c r="D350" s="1"/>
      <c r="E350" s="1" t="s">
        <v>1996</v>
      </c>
      <c r="F350" s="1"/>
      <c r="G350" s="1"/>
      <c r="H350" s="1"/>
      <c r="I350" s="1"/>
      <c r="J350" s="1"/>
      <c r="K350" s="1"/>
      <c r="L350" s="1"/>
      <c r="M350" s="1"/>
      <c r="N350" s="1"/>
    </row>
    <row r="351" spans="2:14">
      <c r="B351" s="766" t="s">
        <v>1861</v>
      </c>
      <c r="C351" s="376">
        <f>SQRT(C341^2-C342^2)</f>
        <v>896.86955573260491</v>
      </c>
      <c r="D351" s="1" t="s">
        <v>68</v>
      </c>
      <c r="E351" s="1"/>
      <c r="F351" s="1"/>
      <c r="G351" s="1"/>
      <c r="H351" s="1"/>
      <c r="I351" s="1"/>
      <c r="J351" s="1"/>
      <c r="K351" s="1"/>
      <c r="L351" s="1"/>
      <c r="M351" s="1"/>
      <c r="N351" s="1"/>
    </row>
    <row r="352" spans="2:14">
      <c r="B352" s="165"/>
      <c r="C352" s="1"/>
      <c r="D352" s="1"/>
      <c r="E352" s="1"/>
      <c r="F352" s="1"/>
      <c r="G352" s="1"/>
      <c r="H352" s="1"/>
      <c r="I352" s="1"/>
      <c r="J352" s="1"/>
      <c r="K352" s="1"/>
      <c r="L352" s="1"/>
      <c r="M352" s="1"/>
      <c r="N352" s="1"/>
    </row>
    <row r="353" spans="2:14">
      <c r="B353" s="165" t="s">
        <v>1997</v>
      </c>
      <c r="C353" s="1"/>
      <c r="D353" s="1"/>
      <c r="E353" s="1" t="s">
        <v>1979</v>
      </c>
      <c r="F353" s="1"/>
      <c r="G353" s="1"/>
      <c r="H353" s="1"/>
      <c r="I353" s="1"/>
      <c r="J353" s="1"/>
      <c r="K353" s="1"/>
      <c r="L353" s="1"/>
      <c r="M353" s="1"/>
      <c r="N353" s="1"/>
    </row>
    <row r="354" spans="2:14">
      <c r="B354" s="165" t="s">
        <v>1900</v>
      </c>
      <c r="C354" s="1">
        <f>RADIANS(C346)</f>
        <v>8.343008661061499E-2</v>
      </c>
      <c r="D354" s="1"/>
      <c r="E354" s="1" t="s">
        <v>1998</v>
      </c>
      <c r="F354" s="1"/>
      <c r="G354" s="1"/>
      <c r="H354" s="1"/>
      <c r="I354" s="1"/>
      <c r="J354" s="1"/>
      <c r="K354" s="1"/>
      <c r="L354" s="1"/>
      <c r="M354" s="1"/>
      <c r="N354" s="1"/>
    </row>
    <row r="355" spans="2:14">
      <c r="B355" s="165" t="s">
        <v>1999</v>
      </c>
      <c r="C355" s="1">
        <f>COS(C354)</f>
        <v>0.99652172859178312</v>
      </c>
      <c r="D355" s="1"/>
      <c r="E355" s="1"/>
      <c r="F355" s="1"/>
      <c r="G355" s="1"/>
      <c r="H355" s="1"/>
      <c r="I355" s="1"/>
      <c r="J355" s="1"/>
      <c r="K355" s="1"/>
      <c r="L355" s="1"/>
      <c r="M355" s="1"/>
      <c r="N355" s="1"/>
    </row>
    <row r="356" spans="2:14">
      <c r="B356" s="165"/>
      <c r="C356" s="1"/>
      <c r="D356" s="1"/>
      <c r="E356" s="1"/>
      <c r="F356" s="1"/>
      <c r="G356" s="1"/>
      <c r="H356" s="1"/>
      <c r="I356" s="1"/>
      <c r="J356" s="1"/>
      <c r="K356" s="1"/>
      <c r="L356" s="1"/>
      <c r="M356" s="1"/>
      <c r="N356" s="1"/>
    </row>
    <row r="357" spans="2:14">
      <c r="B357" s="766" t="s">
        <v>1861</v>
      </c>
      <c r="C357" s="376">
        <f>C355*C341</f>
        <v>896.86955573260479</v>
      </c>
      <c r="D357" s="376" t="s">
        <v>68</v>
      </c>
      <c r="E357" s="1"/>
      <c r="F357" s="1"/>
      <c r="G357" s="1"/>
      <c r="H357" s="1"/>
      <c r="I357" s="1"/>
      <c r="J357" s="1"/>
      <c r="K357" s="1"/>
      <c r="L357" s="1"/>
      <c r="M357" s="1"/>
      <c r="N357" s="1"/>
    </row>
    <row r="358" spans="2:14">
      <c r="B358" s="165"/>
      <c r="C358" s="1"/>
      <c r="D358" s="1"/>
      <c r="E358" s="1"/>
      <c r="F358" s="1"/>
      <c r="G358" s="1"/>
      <c r="H358" s="1"/>
      <c r="I358" s="1"/>
      <c r="J358" s="1"/>
      <c r="K358" s="1"/>
      <c r="L358" s="1"/>
      <c r="M358" s="1"/>
      <c r="N358" s="1"/>
    </row>
    <row r="359" spans="2:14">
      <c r="B359" s="165"/>
      <c r="C359" s="1"/>
      <c r="D359" s="1"/>
      <c r="E359" s="1"/>
      <c r="F359" s="1"/>
      <c r="G359" s="1"/>
      <c r="H359" s="1"/>
      <c r="I359" s="1"/>
      <c r="J359" s="1"/>
      <c r="K359" s="1"/>
      <c r="L359" s="1"/>
      <c r="M359" s="1"/>
      <c r="N359" s="1"/>
    </row>
    <row r="360" spans="2:14">
      <c r="B360" s="165" t="s">
        <v>2000</v>
      </c>
      <c r="C360" s="1"/>
      <c r="D360" s="1"/>
      <c r="E360" s="1" t="s">
        <v>2001</v>
      </c>
      <c r="F360" s="1"/>
      <c r="G360" s="1"/>
      <c r="H360" s="1"/>
      <c r="I360" s="1"/>
      <c r="J360" s="1"/>
      <c r="K360" s="1"/>
      <c r="L360" s="1"/>
      <c r="M360" s="1"/>
      <c r="N360" s="1"/>
    </row>
    <row r="361" spans="2:14">
      <c r="B361" s="165" t="s">
        <v>1900</v>
      </c>
      <c r="C361" s="1">
        <f>C354</f>
        <v>8.343008661061499E-2</v>
      </c>
      <c r="D361" s="1"/>
      <c r="E361" s="1" t="s">
        <v>2002</v>
      </c>
      <c r="F361" s="1"/>
      <c r="G361" s="1"/>
      <c r="H361" s="1"/>
      <c r="I361" s="1"/>
      <c r="J361" s="1"/>
      <c r="K361" s="1"/>
      <c r="L361" s="1"/>
      <c r="M361" s="1"/>
      <c r="N361" s="1"/>
    </row>
    <row r="362" spans="2:14">
      <c r="B362" s="165" t="s">
        <v>2003</v>
      </c>
      <c r="C362" s="1">
        <f>TAN(C361)</f>
        <v>8.3624201000709067E-2</v>
      </c>
      <c r="D362" s="1"/>
      <c r="E362" s="1" t="s">
        <v>2004</v>
      </c>
      <c r="F362" s="1"/>
      <c r="G362" s="1"/>
      <c r="H362" s="1"/>
      <c r="I362" s="1"/>
      <c r="J362" s="1"/>
      <c r="K362" s="1"/>
      <c r="L362" s="1"/>
      <c r="M362" s="1"/>
      <c r="N362" s="1"/>
    </row>
    <row r="363" spans="2:14">
      <c r="B363" s="165"/>
      <c r="C363" s="1"/>
      <c r="D363" s="1"/>
      <c r="E363" s="1"/>
      <c r="F363" s="1"/>
      <c r="G363" s="1"/>
      <c r="H363" s="1"/>
      <c r="I363" s="1"/>
      <c r="J363" s="1"/>
      <c r="K363" s="1"/>
      <c r="L363" s="1"/>
      <c r="M363" s="1"/>
      <c r="N363" s="1"/>
    </row>
    <row r="364" spans="2:14">
      <c r="B364" s="766" t="s">
        <v>1861</v>
      </c>
      <c r="C364" s="376">
        <f>C342/C362</f>
        <v>896.86955573260491</v>
      </c>
      <c r="D364" s="376" t="s">
        <v>68</v>
      </c>
      <c r="E364" s="1"/>
      <c r="F364" s="1"/>
      <c r="G364" s="1"/>
      <c r="H364" s="1"/>
      <c r="I364" s="1"/>
      <c r="J364" s="1"/>
      <c r="K364" s="1"/>
      <c r="L364" s="1"/>
      <c r="M364" s="1"/>
      <c r="N364" s="1"/>
    </row>
    <row r="365" spans="2:14">
      <c r="B365" s="1"/>
      <c r="C365" s="1"/>
      <c r="D365" s="1"/>
      <c r="E365" s="1"/>
      <c r="F365" s="1"/>
      <c r="G365" s="1"/>
      <c r="H365" s="1"/>
      <c r="I365" s="1"/>
      <c r="J365" s="1"/>
      <c r="K365" s="1"/>
      <c r="L365" s="1"/>
      <c r="M365" s="1"/>
      <c r="N365" s="1"/>
    </row>
    <row r="366" spans="2:14">
      <c r="B366" s="1" t="s">
        <v>2005</v>
      </c>
      <c r="C366" s="394">
        <f>C342/C364</f>
        <v>8.3624201000709067E-2</v>
      </c>
      <c r="D366" s="1"/>
      <c r="E366" s="1" t="s">
        <v>2006</v>
      </c>
      <c r="F366" s="1"/>
      <c r="G366" s="1"/>
      <c r="H366" s="1"/>
      <c r="I366" s="1"/>
      <c r="J366" s="1"/>
      <c r="K366" s="1"/>
      <c r="L366" s="1"/>
      <c r="M366" s="1"/>
      <c r="N366" s="1"/>
    </row>
    <row r="367" spans="2:14">
      <c r="B367" s="1"/>
      <c r="C367" s="1"/>
      <c r="D367" s="1"/>
      <c r="E367" s="1"/>
      <c r="F367" s="1"/>
      <c r="G367" s="1"/>
      <c r="H367" s="1"/>
      <c r="I367" s="1"/>
      <c r="J367" s="1"/>
      <c r="K367" s="1"/>
      <c r="L367" s="1"/>
      <c r="M367" s="1"/>
      <c r="N367" s="1"/>
    </row>
    <row r="368" spans="2:14">
      <c r="B368" s="1" t="str">
        <f>"Auf dem Verkehrsschild steht der Wert " &amp; C366</f>
        <v>Auf dem Verkehrsschild steht der Wert 0,0836242010007091</v>
      </c>
      <c r="C368" s="1"/>
      <c r="D368" s="1"/>
      <c r="E368" s="1"/>
      <c r="F368" s="1" t="s">
        <v>525</v>
      </c>
      <c r="G368" s="1"/>
      <c r="H368" s="1"/>
      <c r="I368" s="1"/>
      <c r="J368" s="1"/>
      <c r="K368" s="1"/>
      <c r="L368" s="1"/>
      <c r="M368" s="1"/>
      <c r="N368" s="1"/>
    </row>
    <row r="369" spans="2:14">
      <c r="B369" s="1" t="str">
        <f>"Auf dem Verkehrsschild steht der Wert " &amp; C366*100 &amp; " %"</f>
        <v>Auf dem Verkehrsschild steht der Wert 8,36242010007091 %</v>
      </c>
      <c r="C369" s="1"/>
      <c r="D369" s="1"/>
      <c r="E369" s="1"/>
      <c r="F369" s="1" t="s">
        <v>2007</v>
      </c>
      <c r="G369" s="1"/>
      <c r="H369" s="1"/>
      <c r="I369" s="1"/>
      <c r="J369" s="1"/>
      <c r="K369" s="1"/>
      <c r="L369" s="1"/>
      <c r="M369" s="1"/>
      <c r="N369" s="1"/>
    </row>
    <row r="370" spans="2:14">
      <c r="B370" s="1" t="str">
        <f>"Auf dem Verkehrsschild steht der Wert " &amp; ROUND(C366*100,0) &amp; " %"</f>
        <v>Auf dem Verkehrsschild steht der Wert 8 %</v>
      </c>
      <c r="C370" s="1"/>
      <c r="D370" s="1"/>
      <c r="E370" s="1"/>
      <c r="F370" s="1" t="s">
        <v>2008</v>
      </c>
      <c r="G370" s="1"/>
      <c r="H370" s="1"/>
      <c r="I370" s="1"/>
      <c r="J370" s="1"/>
      <c r="K370" s="1"/>
      <c r="L370" s="1"/>
      <c r="M370" s="1"/>
      <c r="N370" s="1"/>
    </row>
    <row r="371" spans="2:14">
      <c r="B371" s="1"/>
      <c r="C371" s="1"/>
      <c r="D371" s="1"/>
      <c r="E371" s="1"/>
      <c r="F371" s="1"/>
      <c r="G371" s="1"/>
      <c r="H371" s="1"/>
      <c r="I371" s="1"/>
      <c r="J371" s="1"/>
      <c r="K371" s="1"/>
      <c r="L371" s="1"/>
      <c r="M371" s="1"/>
      <c r="N371" s="1"/>
    </row>
    <row r="372" spans="2:14">
      <c r="B372" s="1"/>
      <c r="C372" s="1"/>
      <c r="D372" s="1"/>
      <c r="E372" s="1"/>
      <c r="F372" s="1"/>
      <c r="G372" s="1"/>
      <c r="H372" s="1"/>
      <c r="I372" s="1"/>
      <c r="J372" s="1"/>
      <c r="K372" s="1"/>
      <c r="L372" s="1"/>
      <c r="M372" s="1"/>
      <c r="N372" s="1"/>
    </row>
    <row r="373" spans="2:14">
      <c r="B373" s="1"/>
      <c r="C373" s="1"/>
      <c r="D373" s="1"/>
      <c r="E373" s="1"/>
      <c r="F373" s="1"/>
      <c r="G373" s="1"/>
      <c r="H373" s="1"/>
      <c r="I373" s="1"/>
      <c r="J373" s="1"/>
      <c r="K373" s="1"/>
      <c r="L373" s="1"/>
      <c r="M373" s="1"/>
      <c r="N373" s="1"/>
    </row>
    <row r="374" spans="2:14">
      <c r="B374" s="1"/>
      <c r="C374" s="1"/>
      <c r="D374" s="1"/>
      <c r="E374" s="1"/>
      <c r="F374" s="1"/>
      <c r="G374" s="1"/>
      <c r="H374" s="1"/>
      <c r="I374" s="1"/>
      <c r="J374" s="1"/>
      <c r="K374" s="1"/>
      <c r="L374" s="1"/>
      <c r="M374" s="1"/>
      <c r="N374" s="1"/>
    </row>
    <row r="375" spans="2:14">
      <c r="B375" s="2" t="s">
        <v>2009</v>
      </c>
      <c r="C375" s="317"/>
      <c r="D375" s="26"/>
      <c r="E375" s="1"/>
      <c r="F375" s="1"/>
      <c r="G375" s="1"/>
      <c r="H375" s="1"/>
      <c r="I375" s="1"/>
      <c r="J375" s="1"/>
      <c r="K375" s="1"/>
      <c r="L375" s="1"/>
      <c r="M375" s="1"/>
      <c r="N375" s="1"/>
    </row>
    <row r="376" spans="2:14">
      <c r="B376" s="2" t="s">
        <v>2010</v>
      </c>
      <c r="C376" s="317"/>
      <c r="D376" s="26"/>
      <c r="E376" s="1"/>
      <c r="F376" s="1"/>
      <c r="G376" s="1"/>
      <c r="H376" s="1"/>
      <c r="I376" s="1"/>
      <c r="J376" s="1"/>
      <c r="K376" s="1"/>
      <c r="L376" s="1"/>
      <c r="M376" s="1"/>
      <c r="N376" s="1"/>
    </row>
    <row r="377" spans="2:14">
      <c r="B377" s="769" t="s">
        <v>2011</v>
      </c>
      <c r="C377" s="317"/>
      <c r="D377" s="26"/>
      <c r="E377" s="1"/>
      <c r="F377" s="1"/>
      <c r="G377" s="1"/>
      <c r="H377" s="1"/>
      <c r="I377" s="1"/>
      <c r="J377" s="1"/>
      <c r="K377" s="1"/>
      <c r="L377" s="1"/>
      <c r="M377" s="1"/>
      <c r="N377" s="1"/>
    </row>
    <row r="378" spans="2:14">
      <c r="B378" s="1"/>
      <c r="C378" s="1"/>
      <c r="D378" s="1"/>
      <c r="E378" s="1"/>
      <c r="F378" s="1"/>
      <c r="G378" s="1"/>
      <c r="H378" s="1"/>
      <c r="I378" s="1"/>
      <c r="J378" s="1"/>
      <c r="K378" s="1"/>
      <c r="L378" s="1"/>
      <c r="M378" s="1"/>
      <c r="N378" s="1"/>
    </row>
    <row r="379" spans="2:14">
      <c r="B379" s="326" t="s">
        <v>924</v>
      </c>
      <c r="C379" s="1"/>
      <c r="D379" s="1"/>
      <c r="E379" s="1"/>
      <c r="F379" s="1"/>
      <c r="G379" s="1"/>
      <c r="H379" s="1"/>
      <c r="I379" s="1"/>
      <c r="J379" s="1"/>
      <c r="K379" s="1"/>
      <c r="L379" s="1"/>
      <c r="M379" s="1"/>
      <c r="N379" s="1"/>
    </row>
    <row r="380" spans="2:14">
      <c r="B380" s="1"/>
      <c r="C380" s="1"/>
      <c r="D380" s="1"/>
      <c r="E380" s="1"/>
      <c r="F380" s="1"/>
      <c r="G380" s="1"/>
      <c r="H380" s="1"/>
      <c r="I380" s="1"/>
      <c r="J380" s="1"/>
      <c r="K380" s="1"/>
      <c r="L380" s="1"/>
      <c r="M380" s="1"/>
      <c r="N380" s="1"/>
    </row>
    <row r="381" spans="2:14">
      <c r="B381" s="1"/>
      <c r="C381" s="1"/>
      <c r="D381" s="1"/>
      <c r="E381" s="1"/>
      <c r="F381" s="1"/>
      <c r="G381" s="1"/>
      <c r="H381" s="1"/>
      <c r="I381" s="1"/>
      <c r="J381" s="1"/>
      <c r="K381" s="1"/>
      <c r="L381" s="1"/>
      <c r="M381" s="1"/>
      <c r="N381" s="1"/>
    </row>
    <row r="382" spans="2:14">
      <c r="B382" s="165" t="s">
        <v>2012</v>
      </c>
      <c r="C382" s="326">
        <v>9</v>
      </c>
      <c r="D382" s="1" t="s">
        <v>68</v>
      </c>
      <c r="E382" s="1"/>
      <c r="F382" s="1"/>
      <c r="G382" s="1"/>
      <c r="H382" s="1"/>
      <c r="I382" s="1"/>
      <c r="J382" s="1"/>
      <c r="K382" s="1"/>
      <c r="L382" s="1"/>
      <c r="M382" s="1"/>
      <c r="N382" s="1"/>
    </row>
    <row r="383" spans="2:14">
      <c r="B383" s="165" t="s">
        <v>2013</v>
      </c>
      <c r="C383" s="326">
        <v>7</v>
      </c>
      <c r="D383" s="1" t="s">
        <v>68</v>
      </c>
      <c r="E383" s="1"/>
      <c r="F383" s="1"/>
      <c r="G383" s="1"/>
      <c r="H383" s="1"/>
      <c r="I383" s="1"/>
      <c r="J383" s="1"/>
      <c r="K383" s="1"/>
      <c r="L383" s="1"/>
      <c r="M383" s="1"/>
      <c r="N383" s="1"/>
    </row>
    <row r="384" spans="2:14">
      <c r="B384" s="165" t="s">
        <v>2014</v>
      </c>
      <c r="C384" s="326">
        <v>35</v>
      </c>
      <c r="D384" s="1" t="s">
        <v>1846</v>
      </c>
      <c r="E384" s="1"/>
      <c r="F384" s="1"/>
      <c r="G384" s="1"/>
      <c r="H384" s="1"/>
      <c r="I384" s="1"/>
      <c r="J384" s="1"/>
      <c r="K384" s="1"/>
      <c r="L384" s="1"/>
      <c r="M384" s="1"/>
      <c r="N384" s="1"/>
    </row>
    <row r="385" spans="2:14">
      <c r="B385" s="165"/>
      <c r="C385" s="1"/>
      <c r="D385" s="1"/>
      <c r="E385" s="1"/>
      <c r="F385" s="1"/>
      <c r="G385" s="1"/>
      <c r="H385" s="1"/>
      <c r="I385" s="1"/>
      <c r="J385" s="1"/>
      <c r="K385" s="1"/>
      <c r="L385" s="1"/>
      <c r="M385" s="1"/>
      <c r="N385" s="1"/>
    </row>
    <row r="386" spans="2:14">
      <c r="B386" s="165" t="s">
        <v>2015</v>
      </c>
      <c r="C386" s="1">
        <f>RADIANS(C384)</f>
        <v>0.6108652381980153</v>
      </c>
      <c r="D386" s="1"/>
      <c r="E386" s="1"/>
      <c r="F386" s="1"/>
      <c r="G386" s="1"/>
      <c r="H386" s="1"/>
      <c r="I386" s="1"/>
      <c r="J386" s="1"/>
      <c r="K386" s="1"/>
      <c r="L386" s="1"/>
      <c r="M386" s="1"/>
      <c r="N386" s="1"/>
    </row>
    <row r="387" spans="2:14">
      <c r="B387" s="165" t="s">
        <v>2016</v>
      </c>
      <c r="C387" s="1">
        <f>SIN(C386)</f>
        <v>0.57357643635104605</v>
      </c>
      <c r="D387" s="1"/>
      <c r="E387" s="1"/>
      <c r="F387" s="1"/>
      <c r="G387" s="1"/>
      <c r="H387" s="1"/>
      <c r="I387" s="1"/>
      <c r="J387" s="1"/>
      <c r="K387" s="1"/>
      <c r="L387"/>
      <c r="M387"/>
      <c r="N387"/>
    </row>
    <row r="388" spans="2:14">
      <c r="B388" s="165"/>
      <c r="C388" s="1"/>
      <c r="D388" s="1"/>
      <c r="E388" s="1"/>
      <c r="F388" s="1"/>
      <c r="G388" s="1"/>
      <c r="H388" s="1"/>
      <c r="I388" s="1"/>
      <c r="J388" s="1"/>
      <c r="K388" s="1"/>
      <c r="L388"/>
      <c r="M388"/>
      <c r="N388"/>
    </row>
    <row r="389" spans="2:14">
      <c r="B389" s="165" t="s">
        <v>1863</v>
      </c>
      <c r="C389" s="292">
        <f>C387*C383</f>
        <v>4.0150350544573223</v>
      </c>
      <c r="D389" s="1" t="s">
        <v>68</v>
      </c>
      <c r="E389" s="1" t="s">
        <v>2017</v>
      </c>
      <c r="F389" s="1"/>
      <c r="G389" s="1"/>
      <c r="H389" s="1"/>
      <c r="I389" s="1"/>
      <c r="J389" s="1"/>
      <c r="K389" s="1"/>
      <c r="L389"/>
      <c r="M389"/>
      <c r="N389"/>
    </row>
    <row r="390" spans="2:14">
      <c r="B390" s="165" t="s">
        <v>2018</v>
      </c>
      <c r="C390" s="292">
        <f>C382-C389</f>
        <v>4.9849649455426777</v>
      </c>
      <c r="D390" s="1" t="s">
        <v>68</v>
      </c>
      <c r="E390" s="1" t="s">
        <v>2019</v>
      </c>
      <c r="F390" s="1"/>
      <c r="G390" s="1"/>
      <c r="H390" s="1"/>
      <c r="I390" s="1"/>
      <c r="J390" s="1"/>
      <c r="K390" s="1"/>
      <c r="L390"/>
      <c r="M390"/>
      <c r="N390"/>
    </row>
    <row r="391" spans="2:14">
      <c r="B391" s="165"/>
      <c r="C391" s="1"/>
      <c r="D391" s="1"/>
      <c r="E391" s="1"/>
      <c r="F391" s="1"/>
      <c r="G391" s="1"/>
      <c r="H391" s="1"/>
      <c r="I391" s="1"/>
      <c r="J391" s="1"/>
      <c r="K391" s="1"/>
      <c r="L391"/>
      <c r="M391"/>
      <c r="N391"/>
    </row>
    <row r="392" spans="2:14">
      <c r="B392" s="287"/>
      <c r="C392" s="1"/>
      <c r="D392" s="1"/>
      <c r="E392" s="1"/>
      <c r="F392" s="1"/>
      <c r="G392" s="1"/>
      <c r="H392" s="1"/>
      <c r="I392" s="1"/>
      <c r="J392" s="1"/>
      <c r="K392" s="1"/>
      <c r="L392"/>
      <c r="M392"/>
      <c r="N392"/>
    </row>
    <row r="393" spans="2:14">
      <c r="B393" s="287"/>
      <c r="C393" s="1"/>
      <c r="D393" s="1"/>
      <c r="E393" s="1"/>
      <c r="F393" s="1"/>
      <c r="G393" s="1"/>
      <c r="H393" s="1"/>
      <c r="I393" s="1"/>
      <c r="J393" s="1"/>
      <c r="K393" s="1"/>
      <c r="L393"/>
      <c r="M393"/>
      <c r="N393"/>
    </row>
    <row r="394" spans="2:14">
      <c r="B394" s="287" t="s">
        <v>2020</v>
      </c>
      <c r="C394" s="1"/>
      <c r="D394" s="1"/>
      <c r="E394" s="1"/>
      <c r="F394" s="1"/>
      <c r="G394" s="1"/>
      <c r="H394" s="1"/>
      <c r="I394" s="1"/>
      <c r="J394" s="1"/>
      <c r="K394" s="1"/>
      <c r="L394"/>
      <c r="M394"/>
      <c r="N394"/>
    </row>
    <row r="395" spans="2:14">
      <c r="B395" s="1"/>
      <c r="C395" s="1"/>
      <c r="D395" s="1"/>
      <c r="E395" s="1"/>
      <c r="F395" s="1"/>
      <c r="G395" s="1"/>
      <c r="H395" s="1"/>
      <c r="I395" s="1"/>
      <c r="J395" s="1"/>
      <c r="K395" s="1"/>
      <c r="L395"/>
      <c r="M395"/>
      <c r="N395"/>
    </row>
    <row r="396" spans="2:14">
      <c r="B396" s="165" t="s">
        <v>2014</v>
      </c>
      <c r="C396" s="1">
        <f>(180-90-C384)*2</f>
        <v>110</v>
      </c>
      <c r="D396" s="1" t="s">
        <v>1846</v>
      </c>
      <c r="E396" s="1" t="s">
        <v>2021</v>
      </c>
      <c r="F396" s="1"/>
      <c r="G396" s="1"/>
      <c r="H396" s="1"/>
      <c r="I396" s="1"/>
      <c r="J396" s="1"/>
      <c r="K396" s="1"/>
      <c r="L396"/>
      <c r="M396"/>
      <c r="N396"/>
    </row>
    <row r="397" spans="2:14">
      <c r="B397" s="165"/>
      <c r="C397" s="1"/>
      <c r="D397" s="1"/>
      <c r="E397" s="1"/>
      <c r="F397" s="1"/>
      <c r="G397" s="1"/>
      <c r="H397" s="1"/>
      <c r="I397" s="1"/>
      <c r="J397" s="1"/>
      <c r="K397" s="1"/>
      <c r="L397"/>
      <c r="M397"/>
      <c r="N397"/>
    </row>
    <row r="398" spans="2:14">
      <c r="B398" s="287" t="s">
        <v>2022</v>
      </c>
      <c r="C398" s="1"/>
      <c r="D398" s="1"/>
      <c r="E398" s="1"/>
      <c r="F398" s="1"/>
      <c r="G398" s="1"/>
      <c r="H398" s="1"/>
      <c r="I398" s="1"/>
      <c r="J398" s="1"/>
      <c r="K398" s="1"/>
      <c r="L398"/>
      <c r="M398"/>
      <c r="N398"/>
    </row>
    <row r="399" spans="2:14">
      <c r="B399" s="165"/>
      <c r="C399" s="1"/>
      <c r="D399" s="1"/>
      <c r="E399" s="1"/>
      <c r="F399" s="1"/>
      <c r="G399" s="1"/>
      <c r="H399" s="1"/>
      <c r="I399" s="1"/>
      <c r="J399" s="1"/>
      <c r="K399" s="1"/>
      <c r="L399"/>
      <c r="M399"/>
      <c r="N399"/>
    </row>
    <row r="400" spans="2:14">
      <c r="B400" s="165" t="s">
        <v>2023</v>
      </c>
      <c r="C400" s="1">
        <f>TAN(C386)</f>
        <v>0.70020753820970971</v>
      </c>
      <c r="D400" s="1"/>
      <c r="E400"/>
      <c r="F400" s="1"/>
      <c r="G400" s="1"/>
      <c r="H400" s="1"/>
      <c r="I400" s="1"/>
      <c r="J400" s="1"/>
      <c r="K400" s="1"/>
      <c r="L400"/>
      <c r="M400"/>
      <c r="N400"/>
    </row>
    <row r="401" spans="2:14">
      <c r="B401" s="165" t="s">
        <v>2024</v>
      </c>
      <c r="C401" s="292">
        <f>C389/C400</f>
        <v>5.7340643100229425</v>
      </c>
      <c r="D401" s="1" t="s">
        <v>68</v>
      </c>
      <c r="E401" s="1" t="s">
        <v>2025</v>
      </c>
      <c r="F401" s="1"/>
      <c r="G401" s="1"/>
      <c r="H401" s="1"/>
      <c r="I401" s="1"/>
      <c r="J401" s="1"/>
      <c r="K401" s="1"/>
      <c r="L401"/>
      <c r="M401"/>
      <c r="N401"/>
    </row>
    <row r="402" spans="2:14">
      <c r="B402" s="287"/>
      <c r="C402" s="1"/>
      <c r="D402" s="1"/>
      <c r="E402" s="1"/>
      <c r="F402" s="1"/>
      <c r="G402" s="1"/>
      <c r="H402" s="1"/>
      <c r="I402" s="1"/>
      <c r="J402" s="1"/>
      <c r="K402" s="1"/>
      <c r="L402"/>
      <c r="M402"/>
      <c r="N402"/>
    </row>
    <row r="403" spans="2:14">
      <c r="B403" s="165" t="s">
        <v>2026</v>
      </c>
      <c r="C403" s="292">
        <f>C401*2</f>
        <v>11.468128620045885</v>
      </c>
      <c r="D403" s="1" t="s">
        <v>68</v>
      </c>
      <c r="E403" s="1"/>
      <c r="F403" s="1"/>
      <c r="G403" s="1"/>
      <c r="H403" s="1"/>
      <c r="I403" s="1"/>
      <c r="J403" s="1"/>
      <c r="K403" s="1"/>
      <c r="L403"/>
      <c r="M403"/>
      <c r="N403"/>
    </row>
    <row r="404" spans="2:14">
      <c r="B404" s="287"/>
      <c r="C404" s="1"/>
      <c r="D404" s="1"/>
      <c r="E404" s="1"/>
      <c r="F404" s="1"/>
      <c r="G404" s="1"/>
      <c r="H404" s="1"/>
      <c r="I404" s="1"/>
      <c r="J404" s="1"/>
      <c r="K404" s="1"/>
      <c r="L404"/>
      <c r="M404"/>
      <c r="N404"/>
    </row>
    <row r="405" spans="2:14">
      <c r="B405" s="26" t="s">
        <v>2027</v>
      </c>
      <c r="C405" s="292">
        <f>SQRT(C383^2 - C389^2)</f>
        <v>5.7340643100229425</v>
      </c>
      <c r="D405" s="1" t="s">
        <v>68</v>
      </c>
      <c r="E405" s="1" t="s">
        <v>2028</v>
      </c>
      <c r="F405" s="1"/>
      <c r="G405" s="1"/>
      <c r="H405" s="1"/>
      <c r="I405" s="1"/>
      <c r="J405" s="1"/>
      <c r="K405" s="1"/>
      <c r="L405"/>
      <c r="M405"/>
      <c r="N405"/>
    </row>
    <row r="406" spans="2:14">
      <c r="B406" s="287"/>
      <c r="C406" s="1"/>
      <c r="D406" s="1"/>
      <c r="E406" s="1"/>
      <c r="F406" s="1"/>
      <c r="G406" s="1"/>
      <c r="H406" s="1"/>
      <c r="I406" s="1"/>
      <c r="J406" s="1"/>
      <c r="K406" s="1"/>
      <c r="L406"/>
      <c r="M406"/>
      <c r="N406"/>
    </row>
    <row r="407" spans="2:14">
      <c r="B407" s="287"/>
      <c r="C407" s="1"/>
      <c r="D407" s="1"/>
      <c r="E407" s="1"/>
      <c r="F407" s="1"/>
      <c r="G407" s="1"/>
      <c r="H407" s="1"/>
      <c r="I407" s="1"/>
      <c r="J407" s="1"/>
      <c r="K407" s="1"/>
      <c r="L407"/>
      <c r="M407"/>
      <c r="N407"/>
    </row>
    <row r="408" spans="2:14">
      <c r="B408" s="287"/>
      <c r="C408" s="1"/>
      <c r="D408" s="1"/>
      <c r="E408" s="1"/>
      <c r="F408" s="1"/>
      <c r="G408" s="1"/>
      <c r="H408" s="1"/>
      <c r="I408" s="1"/>
      <c r="J408" s="1"/>
      <c r="K408" s="1"/>
      <c r="L408"/>
      <c r="M408"/>
      <c r="N408"/>
    </row>
    <row r="409" spans="2:14">
      <c r="B409" s="287"/>
      <c r="C409" s="1"/>
      <c r="D409" s="1"/>
      <c r="E409" s="1"/>
      <c r="F409" s="1"/>
      <c r="G409" s="1"/>
      <c r="H409" s="1"/>
      <c r="I409" s="1"/>
      <c r="J409" s="1"/>
      <c r="K409" s="1"/>
      <c r="L409"/>
      <c r="M409"/>
      <c r="N409"/>
    </row>
    <row r="410" spans="2:14">
      <c r="B410" s="2" t="s">
        <v>2029</v>
      </c>
      <c r="C410" s="8"/>
      <c r="D410" s="169"/>
      <c r="E410" s="1"/>
      <c r="F410" s="1"/>
      <c r="G410" s="1"/>
      <c r="H410" s="1"/>
      <c r="I410" s="1"/>
      <c r="J410" s="1"/>
      <c r="K410" s="1"/>
      <c r="L410"/>
      <c r="M410"/>
      <c r="N410"/>
    </row>
    <row r="411" spans="2:14">
      <c r="B411" s="2" t="s">
        <v>2030</v>
      </c>
      <c r="C411" s="1"/>
      <c r="D411" s="1"/>
      <c r="E411" s="1"/>
      <c r="F411" s="1"/>
      <c r="G411" s="1"/>
      <c r="H411" s="1"/>
      <c r="I411" s="1"/>
      <c r="J411" s="1"/>
      <c r="K411" s="1"/>
      <c r="L411"/>
      <c r="M411"/>
      <c r="N411"/>
    </row>
    <row r="412" spans="2:14">
      <c r="B412" s="2" t="s">
        <v>2031</v>
      </c>
      <c r="C412" s="1"/>
      <c r="D412" s="1"/>
      <c r="E412" s="1"/>
      <c r="F412" s="1"/>
      <c r="G412" s="1"/>
      <c r="H412" s="1"/>
      <c r="I412" s="1"/>
      <c r="J412" s="1"/>
      <c r="K412" s="1"/>
      <c r="L412"/>
      <c r="M412"/>
      <c r="N412"/>
    </row>
    <row r="413" spans="2:14">
      <c r="B413" s="1"/>
      <c r="C413" s="1"/>
      <c r="D413" s="1"/>
      <c r="E413" s="1"/>
      <c r="F413" s="1"/>
      <c r="G413" s="1"/>
      <c r="H413" s="1"/>
      <c r="I413" s="1"/>
      <c r="J413" s="1"/>
      <c r="K413" s="1"/>
      <c r="L413"/>
      <c r="M413"/>
      <c r="N413"/>
    </row>
    <row r="414" spans="2:14">
      <c r="B414" s="165"/>
      <c r="C414" s="1"/>
      <c r="D414" s="1"/>
      <c r="E414" s="1"/>
      <c r="F414" s="1"/>
      <c r="G414" s="1"/>
      <c r="H414" s="1"/>
      <c r="I414" s="1"/>
      <c r="J414" s="1"/>
      <c r="K414" s="1"/>
      <c r="L414"/>
      <c r="M414"/>
      <c r="N414"/>
    </row>
    <row r="415" spans="2:14">
      <c r="B415" s="165" t="s">
        <v>2032</v>
      </c>
      <c r="C415" s="1">
        <v>7</v>
      </c>
      <c r="D415" s="1" t="s">
        <v>68</v>
      </c>
      <c r="E415" s="1"/>
      <c r="F415" s="1"/>
      <c r="G415" s="1"/>
      <c r="H415" s="1"/>
      <c r="I415" s="1"/>
      <c r="J415" s="1"/>
      <c r="K415" s="1"/>
      <c r="L415"/>
      <c r="M415"/>
      <c r="N415"/>
    </row>
    <row r="416" spans="2:14">
      <c r="B416" s="165" t="s">
        <v>2033</v>
      </c>
      <c r="C416" s="1">
        <v>12</v>
      </c>
      <c r="D416" s="1" t="s">
        <v>68</v>
      </c>
      <c r="E416" s="1"/>
      <c r="F416" s="1"/>
      <c r="G416" s="1"/>
      <c r="H416" s="1"/>
      <c r="I416" s="1"/>
      <c r="J416" s="1"/>
      <c r="K416" s="1"/>
      <c r="L416"/>
      <c r="M416"/>
      <c r="N416"/>
    </row>
    <row r="417" spans="2:14">
      <c r="B417" s="165"/>
      <c r="C417" s="1"/>
      <c r="D417" s="1"/>
      <c r="E417" s="1"/>
      <c r="F417" s="1"/>
      <c r="G417" s="1"/>
      <c r="H417" s="1"/>
      <c r="I417" s="1"/>
      <c r="J417" s="1"/>
      <c r="K417" s="1"/>
      <c r="L417"/>
      <c r="M417"/>
      <c r="N417"/>
    </row>
    <row r="418" spans="2:14">
      <c r="B418" s="165" t="s">
        <v>1859</v>
      </c>
      <c r="C418" s="1">
        <f>C416</f>
        <v>12</v>
      </c>
      <c r="D418" s="1" t="s">
        <v>68</v>
      </c>
      <c r="E418" s="1"/>
      <c r="F418" s="1"/>
      <c r="G418" s="1"/>
      <c r="H418" s="1"/>
      <c r="I418" s="1"/>
      <c r="J418" s="1"/>
      <c r="K418" s="1"/>
      <c r="L418"/>
      <c r="M418"/>
      <c r="N418"/>
    </row>
    <row r="419" spans="2:14">
      <c r="B419" s="165" t="s">
        <v>1863</v>
      </c>
      <c r="C419" s="1">
        <f>C415/2</f>
        <v>3.5</v>
      </c>
      <c r="D419" s="1" t="s">
        <v>68</v>
      </c>
      <c r="E419" s="1"/>
      <c r="F419" s="1"/>
      <c r="G419" s="1"/>
      <c r="H419" s="1"/>
      <c r="I419" s="1"/>
      <c r="J419" s="1"/>
      <c r="K419" s="1"/>
      <c r="L419"/>
      <c r="M419"/>
      <c r="N419"/>
    </row>
    <row r="420" spans="2:14">
      <c r="B420" s="165"/>
      <c r="C420" s="1"/>
      <c r="D420" s="1"/>
      <c r="E420" s="1"/>
      <c r="F420" s="1"/>
      <c r="G420" s="1"/>
      <c r="H420" s="1"/>
      <c r="I420" s="1"/>
      <c r="J420" s="1"/>
      <c r="K420" s="1"/>
      <c r="L420"/>
      <c r="M420"/>
      <c r="N420"/>
    </row>
    <row r="421" spans="2:14">
      <c r="B421" s="165" t="s">
        <v>2034</v>
      </c>
      <c r="C421" s="1">
        <f>C419/C418</f>
        <v>0.29166666666666669</v>
      </c>
      <c r="D421" s="1"/>
      <c r="E421" s="1"/>
      <c r="F421" s="1"/>
      <c r="G421" s="1"/>
      <c r="H421" s="1"/>
      <c r="I421" s="1"/>
      <c r="J421" s="1"/>
      <c r="K421" s="1"/>
      <c r="L421"/>
      <c r="M421"/>
      <c r="N421"/>
    </row>
    <row r="422" spans="2:14">
      <c r="B422" s="165" t="s">
        <v>1938</v>
      </c>
      <c r="C422" s="1">
        <f>ASIN(C421)</f>
        <v>0.29596880335893133</v>
      </c>
      <c r="D422" s="1"/>
      <c r="E422" s="1"/>
      <c r="F422" s="1"/>
      <c r="G422" s="1"/>
      <c r="H422" s="1"/>
      <c r="I422" s="1"/>
      <c r="J422" s="1"/>
      <c r="K422" s="1"/>
      <c r="L422"/>
      <c r="M422"/>
      <c r="N422"/>
    </row>
    <row r="423" spans="2:14">
      <c r="B423" s="165" t="s">
        <v>1870</v>
      </c>
      <c r="C423" s="292">
        <f>DEGREES(C422)</f>
        <v>16.957763300004149</v>
      </c>
      <c r="D423" s="1" t="s">
        <v>1846</v>
      </c>
      <c r="E423" s="1"/>
      <c r="F423" s="1"/>
      <c r="G423" s="1"/>
      <c r="H423" s="1"/>
      <c r="I423" s="1"/>
      <c r="J423" s="1"/>
      <c r="K423" s="1"/>
      <c r="L423"/>
      <c r="M423"/>
      <c r="N423"/>
    </row>
    <row r="424" spans="2:14">
      <c r="B424" s="165"/>
      <c r="C424" s="1"/>
      <c r="D424" s="1"/>
      <c r="E424" s="1"/>
      <c r="F424" s="1"/>
      <c r="G424" s="1"/>
      <c r="H424" s="1"/>
      <c r="I424" s="1"/>
      <c r="J424" s="1"/>
      <c r="K424" s="1"/>
      <c r="L424"/>
      <c r="M424"/>
      <c r="N424"/>
    </row>
    <row r="425" spans="2:14">
      <c r="B425" s="165" t="s">
        <v>2035</v>
      </c>
      <c r="C425" s="292">
        <f>C423*2</f>
        <v>33.915526600008299</v>
      </c>
      <c r="D425" s="1" t="s">
        <v>1846</v>
      </c>
      <c r="E425" s="1"/>
      <c r="F425" s="1"/>
      <c r="G425" s="1"/>
      <c r="H425" s="1"/>
      <c r="I425" s="1"/>
      <c r="J425" s="1"/>
      <c r="K425" s="1"/>
      <c r="L425"/>
      <c r="M425"/>
      <c r="N425"/>
    </row>
    <row r="426" spans="2:14">
      <c r="B426" s="165"/>
      <c r="C426" s="1"/>
      <c r="D426" s="1"/>
      <c r="E426" s="1"/>
      <c r="F426" s="1"/>
      <c r="G426" s="1"/>
      <c r="H426" s="1"/>
      <c r="I426" s="1"/>
      <c r="J426" s="1"/>
      <c r="K426" s="1"/>
      <c r="L426"/>
      <c r="M426"/>
      <c r="N426"/>
    </row>
    <row r="427" spans="2:14">
      <c r="B427"/>
      <c r="C427" s="1"/>
      <c r="D427" s="1"/>
      <c r="E427" s="1"/>
      <c r="F427" s="1"/>
      <c r="G427" s="1"/>
      <c r="H427" s="1"/>
      <c r="I427" s="1"/>
      <c r="J427" s="1"/>
      <c r="K427" s="1"/>
      <c r="L427"/>
      <c r="M427"/>
      <c r="N427"/>
    </row>
    <row r="428" spans="2:14">
      <c r="B428" s="165"/>
      <c r="C428"/>
      <c r="D428" s="1"/>
      <c r="E428" s="1"/>
      <c r="F428" s="1"/>
      <c r="G428" s="1"/>
      <c r="H428" s="1"/>
      <c r="I428" s="1"/>
      <c r="J428" s="1"/>
      <c r="K428" s="1"/>
      <c r="L428"/>
      <c r="M428"/>
      <c r="N428"/>
    </row>
    <row r="429" spans="2:14">
      <c r="B429" s="165"/>
      <c r="C429" s="287" t="str">
        <f>"Die Kamera muss um " &amp; ROUND(C425,2) &amp; " Grad gedreht werden"</f>
        <v>Die Kamera muss um 33,92 Grad gedreht werden</v>
      </c>
      <c r="D429" s="1"/>
      <c r="E429" s="1"/>
      <c r="F429" s="1"/>
      <c r="G429" s="1"/>
      <c r="H429" s="1"/>
      <c r="I429" s="1"/>
      <c r="J429" s="1"/>
      <c r="K429" s="1"/>
      <c r="L429"/>
      <c r="M429"/>
      <c r="N429"/>
    </row>
    <row r="430" spans="2:14">
      <c r="B430" s="1"/>
      <c r="C430" s="1"/>
      <c r="D430" s="1"/>
      <c r="E430" s="1"/>
      <c r="F430" s="1"/>
      <c r="G430" s="1"/>
      <c r="H430" s="1"/>
      <c r="I430" s="1"/>
      <c r="J430" s="1"/>
      <c r="K430" s="1"/>
      <c r="L430"/>
      <c r="M430"/>
      <c r="N430"/>
    </row>
    <row r="431" spans="2:14">
      <c r="B431" s="1"/>
      <c r="C431" s="1"/>
      <c r="D431" s="1"/>
      <c r="E431" s="1"/>
      <c r="F431" s="1"/>
      <c r="G431" s="1"/>
      <c r="H431" s="1"/>
      <c r="I431" s="1"/>
      <c r="J431" s="1"/>
      <c r="K431" s="1"/>
      <c r="L431"/>
      <c r="M431"/>
      <c r="N431"/>
    </row>
    <row r="432" spans="2:14">
      <c r="B432" s="2" t="s">
        <v>2036</v>
      </c>
      <c r="C432" s="1"/>
      <c r="D432" s="1"/>
      <c r="E432" s="1"/>
      <c r="F432" s="1"/>
      <c r="G432" s="1"/>
      <c r="H432" s="1"/>
      <c r="I432" s="1"/>
      <c r="J432" s="1"/>
      <c r="K432" s="1"/>
      <c r="L432"/>
      <c r="M432"/>
      <c r="N432"/>
    </row>
    <row r="433" spans="2:14">
      <c r="B433" s="2" t="s">
        <v>2037</v>
      </c>
      <c r="C433" s="1"/>
      <c r="D433" s="1"/>
      <c r="E433" s="1"/>
      <c r="F433" s="1"/>
      <c r="G433" s="1"/>
      <c r="H433" s="1"/>
      <c r="I433" s="1"/>
      <c r="J433" s="1"/>
      <c r="K433" s="1"/>
      <c r="L433"/>
      <c r="M433"/>
      <c r="N433"/>
    </row>
    <row r="434" spans="2:14">
      <c r="B434" s="1"/>
      <c r="C434" s="1"/>
      <c r="D434" s="1"/>
      <c r="E434" s="1"/>
      <c r="F434" s="1"/>
      <c r="G434" s="1"/>
      <c r="H434" s="1"/>
      <c r="I434" s="1"/>
      <c r="J434" s="1"/>
      <c r="K434" s="1"/>
      <c r="L434"/>
      <c r="M434"/>
      <c r="N434"/>
    </row>
    <row r="435" spans="2:14">
      <c r="B435" s="1"/>
      <c r="C435" s="1"/>
      <c r="D435" s="1"/>
      <c r="E435" s="1"/>
      <c r="F435" s="1"/>
      <c r="G435" s="1"/>
      <c r="H435" s="1"/>
      <c r="I435" s="1"/>
      <c r="J435" s="1"/>
      <c r="K435" s="1"/>
      <c r="L435"/>
      <c r="M435"/>
      <c r="N435"/>
    </row>
    <row r="436" spans="2:14">
      <c r="B436" s="1"/>
      <c r="C436" s="1"/>
      <c r="D436" s="1"/>
      <c r="E436" s="1"/>
      <c r="F436" s="1"/>
      <c r="G436" s="1"/>
      <c r="H436" s="1"/>
      <c r="I436" s="1"/>
      <c r="J436" s="1"/>
      <c r="K436" s="1"/>
      <c r="L436"/>
      <c r="M436"/>
      <c r="N436"/>
    </row>
    <row r="437" spans="2:14">
      <c r="B437" s="1"/>
      <c r="C437" s="1"/>
      <c r="D437" s="1"/>
      <c r="E437" s="1"/>
      <c r="F437" s="1"/>
      <c r="G437" s="1"/>
      <c r="H437" s="1"/>
      <c r="I437" s="1"/>
      <c r="J437" s="1"/>
      <c r="K437" s="1"/>
      <c r="L437"/>
      <c r="M437"/>
      <c r="N437"/>
    </row>
    <row r="438" spans="2:14">
      <c r="B438" s="1"/>
      <c r="C438" s="1"/>
      <c r="D438" s="1"/>
      <c r="E438" s="1"/>
      <c r="F438" s="1"/>
      <c r="G438" s="1"/>
      <c r="H438" s="1"/>
      <c r="I438" s="1"/>
      <c r="J438" s="1"/>
      <c r="K438" s="1"/>
      <c r="L438"/>
      <c r="M438"/>
      <c r="N438"/>
    </row>
    <row r="439" spans="2:14">
      <c r="B439" s="1"/>
      <c r="C439" s="1"/>
      <c r="D439" s="1"/>
      <c r="E439" s="1"/>
      <c r="F439" s="1"/>
      <c r="G439" s="1"/>
      <c r="H439" s="1"/>
      <c r="I439" s="1"/>
      <c r="J439" s="1"/>
      <c r="K439" s="1"/>
      <c r="L439"/>
      <c r="M439"/>
      <c r="N439"/>
    </row>
    <row r="440" spans="2:14">
      <c r="B440" s="1"/>
      <c r="C440" s="1"/>
      <c r="D440" s="1"/>
      <c r="E440" s="1"/>
      <c r="F440" s="1"/>
      <c r="G440" s="1"/>
      <c r="H440" s="1"/>
      <c r="I440" s="1"/>
      <c r="J440" s="1"/>
      <c r="K440" s="1"/>
      <c r="L440"/>
      <c r="M440"/>
      <c r="N440"/>
    </row>
    <row r="441" spans="2:14">
      <c r="B441" s="223" t="s">
        <v>317</v>
      </c>
      <c r="C441" s="6">
        <v>4</v>
      </c>
      <c r="D441" s="1"/>
      <c r="E441" s="1"/>
      <c r="F441" s="1"/>
      <c r="G441" s="1"/>
      <c r="H441" s="1"/>
      <c r="I441" s="1"/>
      <c r="J441" s="1"/>
      <c r="K441" s="1"/>
      <c r="L441"/>
      <c r="M441"/>
      <c r="N441"/>
    </row>
    <row r="442" spans="2:14">
      <c r="B442" s="767" t="s">
        <v>318</v>
      </c>
      <c r="C442" s="9">
        <v>3</v>
      </c>
      <c r="D442" s="1"/>
      <c r="E442" s="1"/>
      <c r="F442" s="1"/>
      <c r="G442" s="1"/>
      <c r="H442" s="1"/>
      <c r="I442" s="1"/>
      <c r="J442" s="1"/>
      <c r="K442" s="1"/>
      <c r="L442"/>
      <c r="M442"/>
      <c r="N442"/>
    </row>
    <row r="443" spans="2:14">
      <c r="B443" s="767"/>
      <c r="C443" s="9"/>
      <c r="D443" s="1"/>
      <c r="E443" s="1"/>
      <c r="F443" s="1"/>
      <c r="G443" s="1"/>
      <c r="H443" s="1"/>
      <c r="I443" s="1"/>
      <c r="J443" s="1"/>
      <c r="K443" s="1"/>
      <c r="L443"/>
      <c r="M443"/>
      <c r="N443"/>
    </row>
    <row r="444" spans="2:14">
      <c r="B444" s="767" t="s">
        <v>2038</v>
      </c>
      <c r="C444" s="9">
        <f>C442/C441</f>
        <v>0.75</v>
      </c>
      <c r="D444" s="1"/>
      <c r="E444" s="1"/>
      <c r="F444" s="1"/>
      <c r="G444" s="1"/>
      <c r="H444" s="1"/>
      <c r="I444" s="1"/>
      <c r="J444" s="1"/>
      <c r="K444" s="1"/>
      <c r="L444"/>
      <c r="M444"/>
      <c r="N444"/>
    </row>
    <row r="445" spans="2:14">
      <c r="B445" s="767" t="s">
        <v>2039</v>
      </c>
      <c r="C445" s="9">
        <f>ATAN(C444)</f>
        <v>0.64350110879328437</v>
      </c>
      <c r="D445" s="1"/>
      <c r="E445" s="1"/>
      <c r="F445" s="1"/>
      <c r="G445" s="1"/>
      <c r="H445" s="1"/>
      <c r="I445" s="1"/>
      <c r="J445" s="1"/>
      <c r="K445" s="1"/>
      <c r="L445"/>
      <c r="M445"/>
      <c r="N445"/>
    </row>
    <row r="446" spans="2:14">
      <c r="B446" s="224" t="s">
        <v>1870</v>
      </c>
      <c r="C446" s="12">
        <f>DEGREES(C445)</f>
        <v>36.86989764584402</v>
      </c>
      <c r="D446" s="1"/>
      <c r="E446" s="1"/>
      <c r="F446" s="1"/>
      <c r="G446" s="1"/>
      <c r="H446" s="1"/>
      <c r="I446" s="1"/>
      <c r="J446" s="1"/>
      <c r="K446" s="1"/>
      <c r="L446"/>
      <c r="M446"/>
      <c r="N446"/>
    </row>
    <row r="447" spans="2:14">
      <c r="B447" s="165"/>
      <c r="C447" s="1"/>
      <c r="D447" s="1"/>
      <c r="E447" s="1"/>
      <c r="F447" s="1"/>
      <c r="G447" s="1"/>
      <c r="H447" s="1"/>
      <c r="I447" s="1"/>
      <c r="J447" s="1"/>
      <c r="K447" s="1"/>
      <c r="L447"/>
      <c r="M447"/>
      <c r="N447"/>
    </row>
    <row r="448" spans="2:14">
      <c r="B448" s="223" t="s">
        <v>317</v>
      </c>
      <c r="C448" s="6">
        <v>16</v>
      </c>
      <c r="D448" s="1"/>
      <c r="E448" s="1"/>
      <c r="F448" s="1"/>
      <c r="G448" s="1"/>
      <c r="H448" s="1"/>
      <c r="I448" s="1"/>
      <c r="J448" s="1"/>
      <c r="K448" s="1"/>
      <c r="L448"/>
      <c r="M448"/>
      <c r="N448"/>
    </row>
    <row r="449" spans="2:14">
      <c r="B449" s="767" t="s">
        <v>318</v>
      </c>
      <c r="C449" s="9">
        <v>9</v>
      </c>
      <c r="D449" s="1"/>
      <c r="E449" s="1"/>
      <c r="F449" s="1"/>
      <c r="G449" s="1"/>
      <c r="H449" s="1"/>
      <c r="I449" s="1"/>
      <c r="J449" s="1"/>
      <c r="K449" s="1"/>
      <c r="L449"/>
      <c r="M449"/>
      <c r="N449"/>
    </row>
    <row r="450" spans="2:14">
      <c r="B450" s="767"/>
      <c r="C450" s="9"/>
      <c r="D450" s="1"/>
      <c r="E450" s="1"/>
      <c r="F450" s="1"/>
      <c r="G450" s="1"/>
      <c r="H450" s="1"/>
      <c r="I450" s="1"/>
      <c r="J450" s="1"/>
      <c r="K450" s="1"/>
      <c r="L450"/>
      <c r="M450"/>
      <c r="N450"/>
    </row>
    <row r="451" spans="2:14">
      <c r="B451" s="767" t="s">
        <v>2038</v>
      </c>
      <c r="C451" s="9">
        <f>C449/C448</f>
        <v>0.5625</v>
      </c>
      <c r="D451" s="1"/>
      <c r="E451" s="1"/>
      <c r="F451" s="1"/>
      <c r="G451" s="1"/>
      <c r="H451" s="1"/>
      <c r="I451" s="1"/>
      <c r="J451" s="1"/>
      <c r="K451" s="1"/>
      <c r="L451"/>
      <c r="M451"/>
      <c r="N451"/>
    </row>
    <row r="452" spans="2:14">
      <c r="B452" s="767" t="s">
        <v>2039</v>
      </c>
      <c r="C452" s="9">
        <f>ATAN(C451)</f>
        <v>0.51238946031073773</v>
      </c>
      <c r="D452" s="1"/>
      <c r="E452" s="1"/>
      <c r="F452" s="1"/>
      <c r="G452" s="1"/>
      <c r="H452" s="1"/>
      <c r="I452" s="1"/>
      <c r="J452" s="1"/>
      <c r="K452" s="1"/>
      <c r="L452"/>
      <c r="M452"/>
      <c r="N452"/>
    </row>
    <row r="453" spans="2:14">
      <c r="B453" s="224" t="s">
        <v>1870</v>
      </c>
      <c r="C453" s="12">
        <f>DEGREES(C452)</f>
        <v>29.357753542791276</v>
      </c>
      <c r="D453" s="1"/>
      <c r="E453" s="1"/>
      <c r="F453" s="1"/>
      <c r="G453" s="1"/>
      <c r="H453" s="1"/>
      <c r="I453" s="1"/>
      <c r="J453" s="1"/>
      <c r="K453" s="1"/>
      <c r="L453"/>
      <c r="M453"/>
      <c r="N453"/>
    </row>
    <row r="454" spans="2:14">
      <c r="B454" s="1"/>
      <c r="C454" s="1"/>
      <c r="D454" s="1"/>
      <c r="E454" s="1"/>
      <c r="F454" s="1"/>
      <c r="G454" s="1"/>
      <c r="H454" s="1"/>
      <c r="I454" s="1"/>
      <c r="J454" s="1"/>
      <c r="K454" s="1"/>
      <c r="L454"/>
      <c r="M454"/>
      <c r="N454"/>
    </row>
    <row r="455" spans="2:14">
      <c r="B455" s="1" t="str">
        <f>"Die Winkel unterscheiden sich um " &amp; ROUND(C446-C453,2) &amp; " Grad"</f>
        <v>Die Winkel unterscheiden sich um 7,51 Grad</v>
      </c>
      <c r="C455" s="1"/>
      <c r="D455" s="1"/>
      <c r="E455" s="1"/>
      <c r="F455" s="1"/>
      <c r="G455" s="1"/>
      <c r="H455" s="1"/>
      <c r="I455" s="1"/>
      <c r="J455" s="1"/>
      <c r="K455" s="1"/>
      <c r="L455"/>
      <c r="M455"/>
      <c r="N455"/>
    </row>
    <row r="456" spans="2:14">
      <c r="B456" s="1"/>
      <c r="C456" s="1"/>
      <c r="D456" s="1"/>
      <c r="E456" s="1"/>
      <c r="F456" s="1"/>
      <c r="G456" s="1"/>
      <c r="H456" s="1"/>
      <c r="I456" s="1"/>
      <c r="J456" s="1"/>
      <c r="K456" s="1"/>
      <c r="L456"/>
      <c r="M456"/>
      <c r="N456"/>
    </row>
    <row r="457" spans="2:14">
      <c r="B457" s="165" t="s">
        <v>2040</v>
      </c>
      <c r="C457" s="1" t="s">
        <v>2041</v>
      </c>
      <c r="D457" s="1"/>
      <c r="E457" s="1"/>
      <c r="F457" s="1"/>
      <c r="G457" s="1"/>
      <c r="H457" s="1"/>
      <c r="I457" s="1"/>
      <c r="J457" s="1"/>
      <c r="K457" s="1"/>
      <c r="L457"/>
      <c r="M457"/>
      <c r="N457"/>
    </row>
    <row r="458" spans="2:14">
      <c r="B458" s="165" t="s">
        <v>2042</v>
      </c>
      <c r="C458" s="1" t="s">
        <v>2043</v>
      </c>
      <c r="D458" s="1"/>
      <c r="E458" s="1"/>
      <c r="F458" s="1"/>
      <c r="G458" s="1"/>
      <c r="H458" s="1"/>
      <c r="I458" s="1"/>
      <c r="J458" s="1"/>
      <c r="K458" s="1"/>
      <c r="L458"/>
      <c r="M458"/>
      <c r="N458"/>
    </row>
    <row r="459" spans="2:14">
      <c r="B459" s="165" t="s">
        <v>2044</v>
      </c>
      <c r="C459" s="1" t="s">
        <v>2045</v>
      </c>
      <c r="D459" s="1"/>
      <c r="E459" s="1"/>
      <c r="F459" s="1"/>
      <c r="G459" s="1"/>
      <c r="H459" s="1"/>
      <c r="I459" s="1"/>
      <c r="J459" s="1"/>
      <c r="K459" s="1"/>
      <c r="L459"/>
      <c r="M459"/>
      <c r="N459"/>
    </row>
    <row r="460" spans="2:14">
      <c r="B460" s="165"/>
      <c r="C460" s="1"/>
      <c r="D460" s="1"/>
      <c r="E460" s="1"/>
      <c r="F460" s="1"/>
      <c r="G460" s="1"/>
      <c r="H460" s="1"/>
      <c r="I460" s="1"/>
      <c r="J460" s="1"/>
      <c r="K460" s="1"/>
      <c r="L460"/>
      <c r="M460"/>
      <c r="N460"/>
    </row>
    <row r="461" spans="2:14">
      <c r="B461" s="165"/>
      <c r="C461" s="1"/>
      <c r="D461" s="1"/>
      <c r="E461" s="1"/>
      <c r="F461" s="1"/>
      <c r="G461" s="1"/>
      <c r="H461" s="1"/>
      <c r="I461" s="1"/>
      <c r="J461" s="1"/>
      <c r="K461" s="1"/>
      <c r="L461"/>
      <c r="M461"/>
      <c r="N461"/>
    </row>
    <row r="462" spans="2:14">
      <c r="C462" s="1"/>
      <c r="D462" s="1"/>
      <c r="E462" s="1"/>
      <c r="F462" s="1"/>
      <c r="G462" s="1"/>
      <c r="H462" s="1"/>
      <c r="I462" s="1"/>
      <c r="J462" s="1"/>
      <c r="K462" s="1"/>
      <c r="L462"/>
      <c r="M462"/>
      <c r="N462"/>
    </row>
    <row r="463" spans="2:14">
      <c r="B463" s="1"/>
      <c r="C463" s="1"/>
      <c r="D463" s="1"/>
      <c r="E463" s="1"/>
      <c r="F463" s="1"/>
      <c r="G463" s="1"/>
      <c r="H463" s="1"/>
      <c r="I463" s="1"/>
      <c r="J463" s="1"/>
      <c r="K463" s="1"/>
      <c r="L463"/>
      <c r="M463"/>
      <c r="N463"/>
    </row>
    <row r="464" spans="2:14">
      <c r="B464" s="2" t="s">
        <v>2049</v>
      </c>
      <c r="C464" s="1"/>
      <c r="D464" s="1"/>
      <c r="E464" s="1"/>
      <c r="F464" s="1"/>
      <c r="G464" s="1"/>
      <c r="H464" s="1"/>
      <c r="I464" s="1"/>
      <c r="J464" s="1"/>
      <c r="K464" s="1"/>
      <c r="L464"/>
      <c r="M464"/>
      <c r="N464"/>
    </row>
    <row r="465" spans="2:14">
      <c r="B465" s="2" t="s">
        <v>2050</v>
      </c>
      <c r="C465" s="1"/>
      <c r="D465" s="1"/>
      <c r="E465" s="1"/>
      <c r="F465" s="1"/>
      <c r="G465" s="1"/>
      <c r="H465" s="1"/>
      <c r="I465" s="1"/>
      <c r="J465" s="1"/>
      <c r="K465" s="1"/>
      <c r="L465"/>
      <c r="M465"/>
      <c r="N465"/>
    </row>
    <row r="466" spans="2:14">
      <c r="B466" s="2" t="s">
        <v>2051</v>
      </c>
      <c r="C466" s="1"/>
      <c r="D466" s="1"/>
      <c r="E466" s="1"/>
      <c r="F466" s="1"/>
      <c r="G466" s="1"/>
      <c r="H466" s="1"/>
      <c r="I466" s="1"/>
      <c r="J466" s="1"/>
      <c r="K466" s="1"/>
      <c r="L466"/>
      <c r="M466"/>
      <c r="N466"/>
    </row>
    <row r="467" spans="2:14">
      <c r="B467" s="1"/>
      <c r="C467" s="1"/>
      <c r="D467" s="1"/>
      <c r="E467" s="1"/>
      <c r="F467" s="1"/>
      <c r="G467" s="1"/>
      <c r="H467" s="1"/>
      <c r="I467" s="1"/>
      <c r="J467" s="1"/>
      <c r="K467" s="1"/>
      <c r="L467"/>
      <c r="M467"/>
      <c r="N467"/>
    </row>
    <row r="468" spans="2:14">
      <c r="B468" s="1" t="s">
        <v>2046</v>
      </c>
      <c r="C468" s="1"/>
      <c r="D468" s="1"/>
      <c r="E468" s="1"/>
      <c r="F468" s="1"/>
      <c r="G468" s="1"/>
      <c r="H468" s="1"/>
      <c r="I468" s="1"/>
      <c r="J468" s="1"/>
      <c r="K468" s="1"/>
      <c r="L468"/>
      <c r="M468"/>
      <c r="N468"/>
    </row>
    <row r="469" spans="2:14">
      <c r="B469" s="1" t="s">
        <v>2047</v>
      </c>
      <c r="C469" s="1"/>
      <c r="D469" s="1"/>
      <c r="E469" s="1"/>
      <c r="F469" s="1"/>
      <c r="G469" s="1"/>
      <c r="H469" s="1"/>
      <c r="I469" s="1"/>
      <c r="J469" s="1"/>
      <c r="K469" s="1"/>
      <c r="L469"/>
      <c r="M469"/>
      <c r="N469"/>
    </row>
    <row r="470" spans="2:14">
      <c r="B470" s="1" t="s">
        <v>2048</v>
      </c>
      <c r="C470" s="1"/>
      <c r="D470" s="1"/>
      <c r="E470" s="1"/>
      <c r="F470" s="1"/>
      <c r="G470" s="1"/>
      <c r="H470" s="1"/>
      <c r="I470" s="1"/>
      <c r="J470" s="1"/>
      <c r="K470" s="1"/>
      <c r="L470"/>
      <c r="M470"/>
      <c r="N470"/>
    </row>
    <row r="471" spans="2:14">
      <c r="B471" s="1"/>
      <c r="C471" s="1"/>
      <c r="D471" s="1"/>
      <c r="E471" s="1"/>
      <c r="F471" s="1"/>
      <c r="G471" s="1"/>
      <c r="H471" s="1"/>
      <c r="I471" s="1"/>
      <c r="J471" s="1"/>
      <c r="K471" s="1"/>
      <c r="L471"/>
      <c r="M471"/>
      <c r="N471"/>
    </row>
    <row r="472" spans="2:14">
      <c r="B472" s="1"/>
      <c r="C472" s="1"/>
      <c r="D472" s="1"/>
      <c r="E472" s="1"/>
      <c r="F472" s="1"/>
      <c r="G472" s="1"/>
      <c r="H472" s="1"/>
      <c r="I472" s="1"/>
      <c r="J472" s="1"/>
      <c r="K472" s="1"/>
      <c r="L472"/>
      <c r="M472"/>
      <c r="N472"/>
    </row>
    <row r="473" spans="2:14">
      <c r="B473" s="165" t="s">
        <v>2052</v>
      </c>
      <c r="C473" s="326">
        <f>1/60</f>
        <v>1.6666666666666666E-2</v>
      </c>
      <c r="D473" s="1" t="s">
        <v>1846</v>
      </c>
      <c r="E473" s="1"/>
      <c r="F473" s="1"/>
      <c r="G473" s="1"/>
      <c r="H473" s="1"/>
      <c r="I473" s="1"/>
      <c r="J473" s="1"/>
      <c r="K473" s="1"/>
      <c r="L473"/>
      <c r="M473"/>
      <c r="N473"/>
    </row>
    <row r="474" spans="2:14">
      <c r="B474" s="165" t="s">
        <v>520</v>
      </c>
      <c r="C474" s="326">
        <v>80</v>
      </c>
      <c r="D474" s="1" t="s">
        <v>212</v>
      </c>
      <c r="E474" s="1"/>
      <c r="F474" s="1"/>
      <c r="G474" s="1"/>
      <c r="H474" s="1"/>
      <c r="I474" s="1"/>
      <c r="J474" s="1"/>
      <c r="K474" s="1"/>
      <c r="L474"/>
      <c r="M474"/>
      <c r="N474"/>
    </row>
    <row r="475" spans="2:14">
      <c r="B475" s="165" t="s">
        <v>2053</v>
      </c>
      <c r="C475" s="326">
        <v>1920</v>
      </c>
      <c r="D475" s="1" t="s">
        <v>523</v>
      </c>
      <c r="E475" s="1"/>
      <c r="F475" s="1"/>
      <c r="G475" s="1"/>
      <c r="H475" s="1"/>
      <c r="I475" s="1"/>
      <c r="J475" s="1"/>
      <c r="K475" s="1"/>
      <c r="L475"/>
      <c r="M475"/>
      <c r="N475"/>
    </row>
    <row r="476" spans="2:14">
      <c r="B476" s="165"/>
      <c r="C476" s="1"/>
      <c r="D476" s="1"/>
      <c r="E476" s="1"/>
      <c r="F476" s="1"/>
      <c r="G476" s="1"/>
      <c r="H476" s="1"/>
      <c r="I476" s="1"/>
      <c r="J476" s="1"/>
      <c r="K476" s="1"/>
      <c r="L476"/>
      <c r="M476"/>
      <c r="N476"/>
    </row>
    <row r="477" spans="2:14">
      <c r="B477" s="165" t="s">
        <v>2054</v>
      </c>
      <c r="C477" s="373">
        <f>C474/C475</f>
        <v>4.1666666666666664E-2</v>
      </c>
      <c r="D477" s="1" t="s">
        <v>212</v>
      </c>
      <c r="E477" s="1"/>
      <c r="F477" s="1"/>
      <c r="G477" s="1"/>
      <c r="H477" s="1"/>
      <c r="I477" s="1"/>
      <c r="J477" s="1"/>
      <c r="K477" s="1"/>
      <c r="L477"/>
      <c r="M477"/>
      <c r="N477"/>
    </row>
    <row r="478" spans="2:14">
      <c r="B478" s="165"/>
      <c r="C478" s="373">
        <f>C477*10</f>
        <v>0.41666666666666663</v>
      </c>
      <c r="D478" s="1" t="s">
        <v>344</v>
      </c>
      <c r="E478" s="1"/>
      <c r="F478" s="1"/>
      <c r="G478" s="1"/>
      <c r="H478" s="1"/>
      <c r="I478" s="1"/>
      <c r="J478" s="1"/>
      <c r="K478" s="1"/>
      <c r="L478"/>
      <c r="M478"/>
      <c r="N478"/>
    </row>
    <row r="479" spans="2:14">
      <c r="B479" s="165"/>
      <c r="C479" s="1"/>
      <c r="D479" s="1"/>
      <c r="E479" s="1"/>
      <c r="F479" s="1"/>
      <c r="G479" s="1"/>
      <c r="H479" s="1"/>
      <c r="I479" s="1"/>
      <c r="J479" s="1"/>
      <c r="K479" s="1"/>
      <c r="L479"/>
      <c r="M479"/>
      <c r="N479"/>
    </row>
    <row r="480" spans="2:14">
      <c r="B480" s="165" t="s">
        <v>2055</v>
      </c>
      <c r="C480" s="373">
        <f>C478/2</f>
        <v>0.20833333333333331</v>
      </c>
      <c r="D480" s="1" t="s">
        <v>344</v>
      </c>
      <c r="E480" s="1"/>
      <c r="F480" s="1"/>
      <c r="G480" s="1"/>
      <c r="H480" s="1"/>
      <c r="I480" s="1"/>
      <c r="J480" s="1"/>
      <c r="K480" s="1"/>
      <c r="L480"/>
      <c r="M480"/>
      <c r="N480"/>
    </row>
    <row r="481" spans="2:14">
      <c r="B481" s="165"/>
      <c r="C481" s="1"/>
      <c r="D481" s="1"/>
      <c r="E481" s="1"/>
      <c r="F481" s="1"/>
      <c r="G481" s="1"/>
      <c r="H481" s="1"/>
      <c r="I481" s="1"/>
      <c r="J481" s="1"/>
      <c r="K481" s="1"/>
      <c r="L481"/>
      <c r="M481"/>
      <c r="N481"/>
    </row>
    <row r="482" spans="2:14">
      <c r="B482" t="s">
        <v>2056</v>
      </c>
      <c r="C482" s="768">
        <f>RADIANS(C473/2)</f>
        <v>1.4544410433286079E-4</v>
      </c>
      <c r="D482" s="1"/>
      <c r="E482" s="1"/>
      <c r="F482" s="1"/>
      <c r="G482" s="1"/>
      <c r="H482" s="1"/>
      <c r="I482" s="1"/>
      <c r="J482" s="1"/>
      <c r="K482" s="1"/>
      <c r="L482"/>
      <c r="M482"/>
      <c r="N482"/>
    </row>
    <row r="483" spans="2:14">
      <c r="B483" s="165" t="s">
        <v>2057</v>
      </c>
      <c r="C483" s="768">
        <f>TAN(C482)</f>
        <v>1.4544410535843506E-4</v>
      </c>
      <c r="D483" s="1"/>
      <c r="E483" s="1"/>
      <c r="F483" s="1"/>
      <c r="G483" s="1"/>
      <c r="H483" s="1"/>
      <c r="I483" s="1"/>
      <c r="J483" s="1"/>
      <c r="K483" s="1"/>
      <c r="L483"/>
      <c r="M483"/>
      <c r="N483"/>
    </row>
    <row r="484" spans="2:14">
      <c r="B484" s="165"/>
      <c r="C484" s="1"/>
      <c r="D484" s="1"/>
      <c r="E484" s="1"/>
      <c r="F484" s="1"/>
      <c r="G484" s="1"/>
      <c r="H484" s="1"/>
      <c r="I484" s="1"/>
      <c r="J484" s="1"/>
      <c r="K484" s="1"/>
      <c r="L484"/>
      <c r="M484"/>
      <c r="N484"/>
    </row>
    <row r="485" spans="2:14">
      <c r="B485" s="165" t="s">
        <v>2058</v>
      </c>
      <c r="C485" s="292">
        <f>C480/C483</f>
        <v>1432.3944777267729</v>
      </c>
      <c r="D485" s="1" t="s">
        <v>344</v>
      </c>
      <c r="E485" s="1"/>
      <c r="F485" s="1"/>
      <c r="G485" s="1"/>
      <c r="H485" s="1"/>
      <c r="I485" s="1"/>
      <c r="J485" s="1"/>
      <c r="K485" s="1"/>
      <c r="L485"/>
      <c r="M485"/>
      <c r="N485"/>
    </row>
    <row r="486" spans="2:14">
      <c r="B486" s="1"/>
      <c r="C486" s="292">
        <f>C485/10</f>
        <v>143.23944777267729</v>
      </c>
      <c r="D486" s="1" t="s">
        <v>212</v>
      </c>
      <c r="E486" s="1"/>
      <c r="F486" s="1"/>
      <c r="G486" s="1"/>
      <c r="H486" s="1"/>
      <c r="I486" s="1"/>
      <c r="J486" s="1"/>
      <c r="K486" s="1"/>
      <c r="L486"/>
      <c r="M486"/>
      <c r="N486"/>
    </row>
    <row r="487" spans="2:14">
      <c r="B487" s="1"/>
      <c r="C487" s="1"/>
      <c r="D487" s="1"/>
      <c r="E487" s="1"/>
      <c r="F487" s="1"/>
      <c r="G487" s="1"/>
      <c r="H487" s="1"/>
      <c r="I487" s="1"/>
      <c r="J487" s="1"/>
      <c r="K487" s="1"/>
      <c r="L487"/>
      <c r="M487"/>
      <c r="N487"/>
    </row>
    <row r="488" spans="2:14">
      <c r="B488" s="1" t="str">
        <f>"Die Pixelstruktur sieht man, wenn man näher als " &amp; ROUND(C486,2) &amp; " cm vor dem Fernsehgerät sitzt"</f>
        <v>Die Pixelstruktur sieht man, wenn man näher als 143,24 cm vor dem Fernsehgerät sitzt</v>
      </c>
      <c r="C488" s="1"/>
      <c r="D488" s="1"/>
      <c r="E488" s="1"/>
      <c r="F488" s="1"/>
      <c r="G488" s="1"/>
      <c r="H488" s="1"/>
      <c r="I488" s="1"/>
      <c r="J488" s="1"/>
      <c r="K488" s="1"/>
      <c r="L488"/>
      <c r="M488"/>
      <c r="N488"/>
    </row>
    <row r="489" spans="2:14">
      <c r="B489" s="1"/>
      <c r="C489" s="1"/>
      <c r="D489" s="1"/>
      <c r="E489" s="1"/>
      <c r="F489" s="1"/>
      <c r="G489" s="1"/>
      <c r="H489" s="1"/>
      <c r="I489" s="1"/>
      <c r="J489" s="1"/>
      <c r="K489" s="1"/>
      <c r="L489"/>
      <c r="M489"/>
      <c r="N489"/>
    </row>
    <row r="490" spans="2:14">
      <c r="B490" s="1"/>
      <c r="C490" s="1"/>
      <c r="D490" s="1"/>
      <c r="E490" s="1"/>
      <c r="F490" s="1"/>
      <c r="G490" s="1"/>
      <c r="H490" s="1"/>
      <c r="I490" s="1"/>
      <c r="J490" s="1"/>
      <c r="K490" s="1"/>
      <c r="L490"/>
      <c r="M490"/>
      <c r="N490"/>
    </row>
    <row r="494" spans="2:14">
      <c r="B494" s="56"/>
      <c r="C494"/>
      <c r="D494"/>
      <c r="E494"/>
      <c r="F494"/>
      <c r="G494"/>
    </row>
    <row r="495" spans="2:14">
      <c r="B495" s="56"/>
      <c r="C495"/>
      <c r="D495"/>
      <c r="E495"/>
      <c r="F495"/>
      <c r="G495"/>
    </row>
    <row r="496" spans="2:14">
      <c r="B496" s="440" t="s">
        <v>2073</v>
      </c>
      <c r="C496"/>
      <c r="D496"/>
      <c r="E496"/>
      <c r="F496"/>
      <c r="G496"/>
    </row>
    <row r="497" spans="2:8">
      <c r="B497" s="440" t="s">
        <v>2074</v>
      </c>
      <c r="C497"/>
      <c r="D497"/>
      <c r="E497"/>
      <c r="F497"/>
      <c r="G497"/>
    </row>
    <row r="498" spans="2:8">
      <c r="B498" s="440" t="s">
        <v>2075</v>
      </c>
      <c r="C498"/>
      <c r="D498"/>
      <c r="E498"/>
      <c r="F498"/>
      <c r="G498"/>
    </row>
    <row r="499" spans="2:8">
      <c r="B499" s="440" t="s">
        <v>2076</v>
      </c>
      <c r="C499"/>
      <c r="D499"/>
      <c r="E499"/>
      <c r="F499"/>
      <c r="G499"/>
    </row>
    <row r="500" spans="2:8">
      <c r="B500" s="369"/>
      <c r="C500"/>
      <c r="D500"/>
      <c r="E500"/>
      <c r="F500"/>
      <c r="G500"/>
    </row>
    <row r="501" spans="2:8">
      <c r="B501" s="369"/>
      <c r="C501"/>
      <c r="D501"/>
      <c r="E501"/>
      <c r="F501"/>
      <c r="G501"/>
    </row>
    <row r="502" spans="2:8">
      <c r="B502"/>
      <c r="C502"/>
      <c r="D502"/>
      <c r="E502"/>
      <c r="F502"/>
      <c r="G502"/>
    </row>
    <row r="503" spans="2:8">
      <c r="B503"/>
      <c r="C503"/>
      <c r="D503"/>
      <c r="E503"/>
      <c r="F503"/>
      <c r="G503"/>
    </row>
    <row r="504" spans="2:8">
      <c r="B504"/>
      <c r="C504"/>
      <c r="D504"/>
      <c r="E504"/>
      <c r="F504"/>
      <c r="G504"/>
    </row>
    <row r="505" spans="2:8">
      <c r="B505"/>
      <c r="C505"/>
      <c r="D505"/>
      <c r="E505"/>
      <c r="F505"/>
      <c r="G505"/>
    </row>
    <row r="506" spans="2:8">
      <c r="B506"/>
      <c r="C506"/>
      <c r="D506"/>
      <c r="E506"/>
      <c r="F506"/>
      <c r="G506"/>
    </row>
    <row r="507" spans="2:8">
      <c r="B507"/>
      <c r="C507"/>
      <c r="D507"/>
      <c r="E507"/>
      <c r="F507"/>
      <c r="G507"/>
    </row>
    <row r="508" spans="2:8">
      <c r="B508" s="56" t="s">
        <v>2077</v>
      </c>
      <c r="C508" s="235">
        <v>35</v>
      </c>
      <c r="D508" t="s">
        <v>1846</v>
      </c>
      <c r="E508"/>
      <c r="F508"/>
      <c r="G508"/>
    </row>
    <row r="509" spans="2:8">
      <c r="B509" s="56" t="s">
        <v>2078</v>
      </c>
      <c r="C509" s="235">
        <v>10</v>
      </c>
      <c r="D509" t="s">
        <v>68</v>
      </c>
      <c r="E509"/>
      <c r="F509"/>
      <c r="G509"/>
    </row>
    <row r="510" spans="2:8">
      <c r="B510" s="56"/>
      <c r="C510"/>
      <c r="D510"/>
      <c r="E510"/>
      <c r="F510"/>
      <c r="G510"/>
    </row>
    <row r="511" spans="2:8">
      <c r="B511" s="56" t="s">
        <v>2079</v>
      </c>
      <c r="C511">
        <f>C509/2</f>
        <v>5</v>
      </c>
      <c r="D511" t="s">
        <v>68</v>
      </c>
      <c r="E511"/>
      <c r="F511"/>
      <c r="G511"/>
      <c r="H511"/>
    </row>
    <row r="512" spans="2:8">
      <c r="B512" s="56" t="s">
        <v>1900</v>
      </c>
      <c r="C512">
        <f>RADIANS(C508)</f>
        <v>0.6108652381980153</v>
      </c>
      <c r="D512"/>
      <c r="E512"/>
      <c r="F512"/>
      <c r="G512"/>
      <c r="H512"/>
    </row>
    <row r="513" spans="2:10">
      <c r="B513" s="56" t="s">
        <v>1908</v>
      </c>
      <c r="C513">
        <f>TAN(C512)</f>
        <v>0.70020753820970971</v>
      </c>
      <c r="D513"/>
      <c r="E513"/>
      <c r="F513"/>
      <c r="G513"/>
      <c r="H513"/>
    </row>
    <row r="514" spans="2:10">
      <c r="B514" s="56"/>
      <c r="C514"/>
      <c r="D514"/>
      <c r="E514" t="s">
        <v>2080</v>
      </c>
      <c r="F514"/>
      <c r="G514"/>
    </row>
    <row r="515" spans="2:10">
      <c r="B515" s="56" t="s">
        <v>2081</v>
      </c>
      <c r="C515" s="58">
        <f>C513*C511</f>
        <v>3.5010376910485483</v>
      </c>
      <c r="D515" t="s">
        <v>68</v>
      </c>
      <c r="E515" t="s">
        <v>2082</v>
      </c>
      <c r="F515"/>
      <c r="G515"/>
    </row>
    <row r="516" spans="2:10">
      <c r="B516"/>
      <c r="C516"/>
      <c r="D516"/>
      <c r="E516"/>
      <c r="F516"/>
      <c r="G516"/>
    </row>
    <row r="517" spans="2:10">
      <c r="B517" s="56" t="s">
        <v>2083</v>
      </c>
      <c r="C517"/>
      <c r="D517"/>
      <c r="E517" t="s">
        <v>2084</v>
      </c>
      <c r="F517"/>
      <c r="G517"/>
    </row>
    <row r="518" spans="2:10">
      <c r="B518"/>
      <c r="C518"/>
      <c r="D518"/>
      <c r="E518" t="s">
        <v>2085</v>
      </c>
      <c r="F518"/>
      <c r="G518"/>
    </row>
    <row r="519" spans="2:10">
      <c r="B519" s="56" t="s">
        <v>1906</v>
      </c>
      <c r="C519">
        <f>SIN(C512)</f>
        <v>0.57357643635104605</v>
      </c>
      <c r="D519"/>
      <c r="E519"/>
      <c r="F519"/>
      <c r="G519"/>
    </row>
    <row r="520" spans="2:10">
      <c r="B520" s="60" t="s">
        <v>2083</v>
      </c>
      <c r="C520" s="771">
        <f>C515/C519</f>
        <v>6.1038729438072803</v>
      </c>
      <c r="D520" s="32" t="s">
        <v>68</v>
      </c>
      <c r="E520" s="32"/>
      <c r="F520" s="32"/>
      <c r="G520" s="32"/>
    </row>
    <row r="521" spans="2:10">
      <c r="B521" s="746"/>
      <c r="C521" s="746"/>
      <c r="D521" s="746"/>
      <c r="E521" s="32"/>
      <c r="F521" s="32"/>
      <c r="G521" s="32"/>
    </row>
    <row r="522" spans="2:10">
      <c r="B522" s="165"/>
      <c r="C522" s="1"/>
      <c r="D522" s="1"/>
      <c r="E522" s="1"/>
      <c r="F522" s="1"/>
      <c r="G522" s="1"/>
      <c r="H522" s="1"/>
      <c r="I522" s="1"/>
      <c r="J522" s="1"/>
    </row>
    <row r="523" spans="2:10">
      <c r="B523" s="2"/>
      <c r="C523" s="1"/>
      <c r="D523" s="1"/>
      <c r="E523" s="1"/>
      <c r="F523" s="1"/>
      <c r="G523" s="1"/>
      <c r="H523" s="1"/>
      <c r="I523" s="1"/>
      <c r="J523" s="1"/>
    </row>
    <row r="524" spans="2:10">
      <c r="B524" s="1"/>
      <c r="C524" s="1"/>
      <c r="D524" s="1"/>
      <c r="E524" s="1"/>
      <c r="F524" s="1"/>
      <c r="G524" s="1"/>
      <c r="H524" s="1"/>
      <c r="I524" s="1"/>
      <c r="J524" s="1"/>
    </row>
    <row r="525" spans="2:10" ht="153">
      <c r="B525" s="772" t="s">
        <v>2094</v>
      </c>
      <c r="C525" s="1"/>
      <c r="D525" s="1"/>
      <c r="E525" s="1"/>
      <c r="F525" s="1"/>
      <c r="G525" s="1"/>
      <c r="H525" s="1"/>
      <c r="I525" s="1"/>
      <c r="J525" s="1"/>
    </row>
    <row r="526" spans="2:10">
      <c r="B526" s="1"/>
      <c r="C526" s="1"/>
      <c r="D526" s="1"/>
      <c r="E526" s="1"/>
      <c r="F526" s="1"/>
      <c r="G526" s="1"/>
      <c r="H526" s="1"/>
      <c r="I526" s="1"/>
      <c r="J526" s="1"/>
    </row>
    <row r="527" spans="2:10">
      <c r="B527" s="1"/>
      <c r="C527" s="1"/>
      <c r="D527" s="1"/>
      <c r="E527" s="1"/>
      <c r="F527" s="1"/>
      <c r="G527" s="1"/>
      <c r="H527" s="1"/>
      <c r="I527" s="1"/>
      <c r="J527" s="1"/>
    </row>
    <row r="528" spans="2:10">
      <c r="B528" s="165" t="s">
        <v>2095</v>
      </c>
      <c r="C528" s="773">
        <v>400</v>
      </c>
      <c r="D528" s="1" t="s">
        <v>212</v>
      </c>
      <c r="E528" s="1"/>
      <c r="F528" s="1"/>
      <c r="G528" s="1"/>
      <c r="H528" s="1"/>
      <c r="I528" s="1"/>
      <c r="J528" s="1"/>
    </row>
    <row r="529" spans="2:10">
      <c r="B529" s="165" t="s">
        <v>2096</v>
      </c>
      <c r="C529" s="773">
        <v>900</v>
      </c>
      <c r="D529" s="1" t="s">
        <v>212</v>
      </c>
      <c r="E529" s="1"/>
      <c r="F529" s="1"/>
      <c r="G529" s="1"/>
      <c r="H529" s="1"/>
      <c r="I529" s="1"/>
      <c r="J529" s="1"/>
    </row>
    <row r="530" spans="2:10">
      <c r="B530" s="165"/>
      <c r="C530" s="1"/>
      <c r="D530" s="1"/>
      <c r="E530" s="1"/>
      <c r="F530" s="1"/>
      <c r="G530" s="1"/>
      <c r="H530" s="1"/>
      <c r="I530" s="1"/>
      <c r="J530" s="1"/>
    </row>
    <row r="531" spans="2:10">
      <c r="B531" s="165" t="s">
        <v>2097</v>
      </c>
      <c r="C531" s="1">
        <f>C528/C529</f>
        <v>0.44444444444444442</v>
      </c>
      <c r="D531" s="1"/>
      <c r="E531" s="1"/>
      <c r="F531" s="1"/>
      <c r="G531" s="1"/>
      <c r="H531" s="1"/>
      <c r="I531" s="1"/>
      <c r="J531" s="1"/>
    </row>
    <row r="532" spans="2:10">
      <c r="B532" s="165" t="s">
        <v>1938</v>
      </c>
      <c r="C532" s="1">
        <f>ACOS(C531)</f>
        <v>1.1102423351135742</v>
      </c>
      <c r="D532" s="1"/>
      <c r="E532" s="1"/>
      <c r="F532" s="1"/>
      <c r="G532" s="1"/>
      <c r="H532" s="1"/>
      <c r="I532" s="1"/>
      <c r="J532" s="1"/>
    </row>
    <row r="533" spans="2:10">
      <c r="B533" s="165" t="s">
        <v>2098</v>
      </c>
      <c r="C533" s="1">
        <f>DEGREES(C532)</f>
        <v>63.612200038757003</v>
      </c>
      <c r="D533" s="1" t="s">
        <v>1846</v>
      </c>
      <c r="E533" s="1"/>
      <c r="F533" s="1"/>
      <c r="G533" s="1"/>
      <c r="H533" s="1"/>
      <c r="I533" s="1"/>
      <c r="J533" s="1"/>
    </row>
    <row r="534" spans="2:10">
      <c r="B534" s="165" t="s">
        <v>2099</v>
      </c>
      <c r="C534" s="1">
        <f>90-C533</f>
        <v>26.387799961242997</v>
      </c>
      <c r="D534" s="1" t="s">
        <v>1846</v>
      </c>
      <c r="E534" s="1"/>
      <c r="F534" s="1"/>
      <c r="G534" s="1"/>
      <c r="H534" s="1"/>
      <c r="I534" s="1"/>
      <c r="J534" s="1"/>
    </row>
    <row r="535" spans="2:10">
      <c r="B535" s="165"/>
      <c r="C535" s="1"/>
      <c r="D535" s="1"/>
      <c r="E535" s="1"/>
      <c r="F535" s="1"/>
      <c r="G535" s="1"/>
      <c r="H535" s="1"/>
      <c r="I535" s="1"/>
      <c r="J535" s="1"/>
    </row>
    <row r="536" spans="2:10">
      <c r="B536" s="165"/>
      <c r="C536" s="1" t="str">
        <f>"Man muss die Stange um " &amp; ROUND(C534,2) &amp; " Grad neigen."</f>
        <v>Man muss die Stange um 26,39 Grad neigen.</v>
      </c>
      <c r="D536" s="1"/>
      <c r="E536" s="1"/>
      <c r="F536" s="1"/>
      <c r="G536" s="1"/>
      <c r="H536" s="1"/>
      <c r="I536" s="1"/>
      <c r="J536" s="1"/>
    </row>
    <row r="537" spans="2:10">
      <c r="B537" s="165"/>
      <c r="C537" s="1"/>
      <c r="D537" s="1"/>
      <c r="E537" s="1"/>
      <c r="F537" s="1"/>
      <c r="G537" s="1"/>
      <c r="H537" s="1"/>
      <c r="I537" s="1"/>
      <c r="J537" s="1"/>
    </row>
    <row r="538" spans="2:10">
      <c r="B538" s="165" t="s">
        <v>2100</v>
      </c>
      <c r="C538" s="1">
        <f>RADIANS(C534)</f>
        <v>0.46055399168132238</v>
      </c>
      <c r="D538" s="1"/>
      <c r="E538" s="1"/>
      <c r="F538" s="1"/>
      <c r="G538" s="1"/>
      <c r="H538" s="1"/>
      <c r="I538" s="1"/>
      <c r="J538" s="1"/>
    </row>
    <row r="539" spans="2:10">
      <c r="B539" s="165" t="s">
        <v>2101</v>
      </c>
      <c r="C539" s="1">
        <f>SIN(C538)</f>
        <v>0.44444444444444442</v>
      </c>
      <c r="D539" s="1"/>
      <c r="E539" s="1"/>
      <c r="F539" s="1"/>
      <c r="G539" s="1"/>
      <c r="H539" s="1"/>
      <c r="I539" s="1"/>
      <c r="J539" s="1"/>
    </row>
    <row r="540" spans="2:10">
      <c r="B540" s="165" t="s">
        <v>2102</v>
      </c>
      <c r="C540" s="292">
        <f>C528*C539</f>
        <v>177.77777777777777</v>
      </c>
      <c r="D540" s="1" t="s">
        <v>212</v>
      </c>
      <c r="E540" s="1"/>
      <c r="F540" s="1"/>
      <c r="G540" s="1"/>
      <c r="H540" s="1"/>
      <c r="I540" s="1"/>
      <c r="J540" s="1"/>
    </row>
    <row r="541" spans="2:10">
      <c r="B541" s="165"/>
      <c r="C541" s="1"/>
      <c r="D541" s="1"/>
      <c r="E541" s="1"/>
      <c r="F541" s="1"/>
      <c r="G541" s="1"/>
      <c r="H541" s="1"/>
      <c r="I541" s="1"/>
      <c r="J541" s="1"/>
    </row>
    <row r="542" spans="2:10">
      <c r="B542" s="1" t="str">
        <f>"Die Kamera ist " &amp; ROUND(C540,2) &amp; " cm von der Senkrechten der Stange entfernt."</f>
        <v>Die Kamera ist 177,78 cm von der Senkrechten der Stange entfernt.</v>
      </c>
      <c r="D542" s="1"/>
      <c r="E542" s="1"/>
      <c r="F542" s="1"/>
      <c r="G542" s="1"/>
      <c r="H542" s="1"/>
      <c r="I542" s="1"/>
      <c r="J542" s="1"/>
    </row>
    <row r="543" spans="2:10">
      <c r="B543" s="165"/>
      <c r="C543" s="1"/>
      <c r="D543" s="1"/>
      <c r="E543" s="1"/>
      <c r="F543" s="1"/>
      <c r="G543" s="1"/>
      <c r="H543" s="1"/>
      <c r="I543" s="1"/>
      <c r="J543" s="1"/>
    </row>
    <row r="549" spans="2:2">
      <c r="B549" s="3" t="s">
        <v>2059</v>
      </c>
    </row>
    <row r="550" spans="2:2">
      <c r="B550" s="3" t="s">
        <v>2060</v>
      </c>
    </row>
    <row r="551" spans="2:2">
      <c r="B551" s="3" t="s">
        <v>2061</v>
      </c>
    </row>
    <row r="552" spans="2:2">
      <c r="B552" s="3" t="s">
        <v>2062</v>
      </c>
    </row>
    <row r="553" spans="2:2">
      <c r="B553" s="3" t="s">
        <v>2063</v>
      </c>
    </row>
    <row r="554" spans="2:2">
      <c r="B554" s="24"/>
    </row>
    <row r="555" spans="2:2">
      <c r="B555" s="24"/>
    </row>
    <row r="556" spans="2:2">
      <c r="B556" s="27" t="s">
        <v>2064</v>
      </c>
    </row>
    <row r="557" spans="2:2">
      <c r="B557" s="27" t="s">
        <v>2065</v>
      </c>
    </row>
    <row r="558" spans="2:2">
      <c r="B558" s="24"/>
    </row>
    <row r="559" spans="2:2">
      <c r="B559" s="24"/>
    </row>
    <row r="560" spans="2:2">
      <c r="B560" s="27" t="s">
        <v>2066</v>
      </c>
    </row>
    <row r="561" spans="2:2">
      <c r="B561" s="27" t="s">
        <v>2067</v>
      </c>
    </row>
    <row r="562" spans="2:2">
      <c r="B562" s="27" t="s">
        <v>2068</v>
      </c>
    </row>
    <row r="563" spans="2:2">
      <c r="B563" s="27" t="s">
        <v>2069</v>
      </c>
    </row>
    <row r="564" spans="2:2">
      <c r="B564" s="24" t="s">
        <v>2070</v>
      </c>
    </row>
    <row r="565" spans="2:2">
      <c r="B565" s="24"/>
    </row>
    <row r="566" spans="2:2">
      <c r="B566" s="24"/>
    </row>
    <row r="567" spans="2:2">
      <c r="B567" s="24" t="s">
        <v>2071</v>
      </c>
    </row>
    <row r="568" spans="2:2">
      <c r="B568" s="24" t="s">
        <v>2072</v>
      </c>
    </row>
    <row r="569" spans="2:2">
      <c r="B569" s="770"/>
    </row>
    <row r="570" spans="2:2">
      <c r="B570" s="770" t="s">
        <v>2086</v>
      </c>
    </row>
    <row r="571" spans="2:2">
      <c r="B571" s="770" t="s">
        <v>2087</v>
      </c>
    </row>
    <row r="572" spans="2:2">
      <c r="B572" s="770" t="s">
        <v>2088</v>
      </c>
    </row>
    <row r="573" spans="2:2">
      <c r="B573" s="770"/>
    </row>
    <row r="574" spans="2:2">
      <c r="B574" s="770"/>
    </row>
    <row r="575" spans="2:2">
      <c r="B575" s="770" t="s">
        <v>2089</v>
      </c>
    </row>
    <row r="576" spans="2:2">
      <c r="B576" s="770" t="s">
        <v>2090</v>
      </c>
    </row>
    <row r="577" spans="2:2">
      <c r="B577" s="770" t="s">
        <v>2091</v>
      </c>
    </row>
    <row r="578" spans="2:2">
      <c r="B578" s="770"/>
    </row>
    <row r="579" spans="2:2">
      <c r="B579" s="770"/>
    </row>
    <row r="580" spans="2:2">
      <c r="B580" s="770" t="s">
        <v>2092</v>
      </c>
    </row>
    <row r="581" spans="2:2">
      <c r="B581" s="770" t="s">
        <v>2093</v>
      </c>
    </row>
    <row r="589" spans="2:2">
      <c r="B589" s="770"/>
    </row>
    <row r="590" spans="2:2">
      <c r="B590" s="770"/>
    </row>
    <row r="591" spans="2:2">
      <c r="B591" s="770"/>
    </row>
    <row r="592" spans="2:2">
      <c r="B592" s="770"/>
    </row>
  </sheetData>
  <pageMargins left="0.78740157499999996" right="0.78740157499999996" top="0.984251969" bottom="0.984251969" header="0.4921259845" footer="0.4921259845"/>
  <pageSetup paperSize="9" orientation="landscape" r:id="rId1"/>
  <headerFooter alignWithMargins="0"/>
  <drawing r:id="rId2"/>
  <legacyDrawing r:id="rId3"/>
  <oleObjects>
    <mc:AlternateContent xmlns:mc="http://schemas.openxmlformats.org/markup-compatibility/2006">
      <mc:Choice Requires="x14">
        <oleObject progId="Photoshop.Image.10" shapeId="23553" r:id="rId4">
          <objectPr defaultSize="0" autoPict="0" r:id="rId5">
            <anchor moveWithCells="1">
              <from>
                <xdr:col>9</xdr:col>
                <xdr:colOff>0</xdr:colOff>
                <xdr:row>392</xdr:row>
                <xdr:rowOff>9525</xdr:rowOff>
              </from>
              <to>
                <xdr:col>12</xdr:col>
                <xdr:colOff>542925</xdr:colOff>
                <xdr:row>405</xdr:row>
                <xdr:rowOff>133350</xdr:rowOff>
              </to>
            </anchor>
          </objectPr>
        </oleObject>
      </mc:Choice>
      <mc:Fallback>
        <oleObject progId="Photoshop.Image.10" shapeId="23553" r:id="rId4"/>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0"/>
  <dimension ref="A35:T582"/>
  <sheetViews>
    <sheetView zoomScale="90" zoomScaleNormal="90" workbookViewId="0">
      <selection activeCell="F326" sqref="F326:F329"/>
    </sheetView>
  </sheetViews>
  <sheetFormatPr baseColWidth="10" defaultColWidth="11.42578125" defaultRowHeight="12.75"/>
  <cols>
    <col min="1" max="1" width="16.5703125" style="47" customWidth="1"/>
    <col min="2" max="2" width="31.42578125" style="379" customWidth="1"/>
    <col min="3" max="3" width="20.28515625" style="47" customWidth="1"/>
    <col min="4" max="4" width="14.140625" style="47" customWidth="1"/>
    <col min="5" max="5" width="15.42578125" style="47" customWidth="1"/>
    <col min="6" max="6" width="19.7109375" style="47" customWidth="1"/>
    <col min="7" max="7" width="18.7109375" style="47" customWidth="1"/>
    <col min="8" max="16384" width="11.42578125" style="47"/>
  </cols>
  <sheetData>
    <row r="35" spans="2:18">
      <c r="B35" s="1" t="s">
        <v>1112</v>
      </c>
      <c r="C35" s="1"/>
      <c r="D35" s="1"/>
      <c r="E35" s="1"/>
      <c r="F35" s="1"/>
      <c r="G35" s="1"/>
      <c r="H35" s="1"/>
      <c r="I35" s="1"/>
      <c r="J35" s="1"/>
      <c r="K35" s="1"/>
      <c r="L35" s="1"/>
      <c r="M35" s="1"/>
      <c r="N35" s="1"/>
      <c r="O35" s="1"/>
      <c r="P35" s="1"/>
      <c r="Q35" s="1"/>
      <c r="R35" s="1"/>
    </row>
    <row r="36" spans="2:18">
      <c r="B36" s="1" t="s">
        <v>1113</v>
      </c>
      <c r="C36" s="1"/>
      <c r="D36" s="1"/>
      <c r="E36" s="1"/>
      <c r="F36" s="1"/>
      <c r="G36" s="1"/>
      <c r="H36" s="1"/>
      <c r="I36" s="1"/>
      <c r="J36" s="1"/>
      <c r="K36" s="1"/>
      <c r="L36" s="1"/>
      <c r="M36" s="1"/>
      <c r="N36" s="1"/>
      <c r="O36" s="1"/>
      <c r="P36" s="1"/>
      <c r="Q36" s="1"/>
      <c r="R36" s="1"/>
    </row>
    <row r="37" spans="2:18">
      <c r="B37" s="2" t="s">
        <v>1044</v>
      </c>
      <c r="C37" s="1"/>
      <c r="D37" s="1"/>
      <c r="E37" s="1"/>
      <c r="F37" s="1"/>
      <c r="G37" s="1"/>
      <c r="H37" s="1"/>
      <c r="I37" s="1"/>
      <c r="J37" s="1"/>
      <c r="K37" s="1"/>
      <c r="L37" s="1"/>
      <c r="M37" s="1"/>
      <c r="N37" s="1"/>
      <c r="O37" s="1"/>
      <c r="P37" s="1"/>
      <c r="Q37" s="1"/>
      <c r="R37" s="1"/>
    </row>
    <row r="38" spans="2:18">
      <c r="B38" s="1" t="s">
        <v>1156</v>
      </c>
      <c r="C38" s="1"/>
      <c r="D38" s="1"/>
      <c r="E38" s="1"/>
      <c r="F38" s="1"/>
      <c r="G38" s="1"/>
      <c r="H38" s="1"/>
      <c r="I38" s="1"/>
      <c r="J38" s="1"/>
      <c r="K38" s="1"/>
      <c r="L38" s="1"/>
      <c r="M38" s="1"/>
      <c r="N38" s="1"/>
      <c r="O38" s="1"/>
      <c r="P38" s="1"/>
      <c r="Q38" s="1"/>
      <c r="R38" s="1"/>
    </row>
    <row r="39" spans="2:18">
      <c r="B39" s="1" t="s">
        <v>1157</v>
      </c>
      <c r="C39" s="1"/>
      <c r="D39" s="1"/>
      <c r="E39" s="1"/>
      <c r="F39" s="1"/>
      <c r="G39" s="1"/>
      <c r="H39" s="1"/>
      <c r="I39" s="1"/>
      <c r="J39" s="1"/>
      <c r="K39" s="1"/>
      <c r="L39" s="1"/>
      <c r="M39" s="1"/>
      <c r="N39" s="1"/>
      <c r="O39" s="1"/>
      <c r="P39" s="1"/>
      <c r="Q39" s="1"/>
      <c r="R39" s="1"/>
    </row>
    <row r="40" spans="2:18">
      <c r="B40" s="1"/>
      <c r="C40" s="1"/>
      <c r="D40" s="1"/>
      <c r="E40" s="1"/>
      <c r="F40" s="1"/>
      <c r="G40" s="1"/>
      <c r="H40" s="1"/>
      <c r="I40" s="1"/>
      <c r="J40" s="1"/>
      <c r="K40" s="1"/>
      <c r="L40" s="1"/>
      <c r="M40" s="1"/>
      <c r="N40" s="1"/>
      <c r="O40" s="1"/>
      <c r="P40" s="1"/>
      <c r="Q40" s="1"/>
      <c r="R40" s="1"/>
    </row>
    <row r="41" spans="2:18">
      <c r="B41" s="1"/>
      <c r="C41" s="1"/>
      <c r="D41" s="1"/>
      <c r="E41" s="1"/>
      <c r="F41" s="1"/>
      <c r="G41" s="1"/>
      <c r="H41" s="1"/>
      <c r="I41" s="1"/>
      <c r="J41" s="1"/>
      <c r="K41" s="1"/>
      <c r="L41" s="1"/>
      <c r="M41" s="1"/>
      <c r="N41" s="1"/>
      <c r="O41" s="1"/>
      <c r="P41" s="1"/>
      <c r="Q41" s="1"/>
      <c r="R41" s="1"/>
    </row>
    <row r="42" spans="2:18">
      <c r="C42" s="1"/>
      <c r="D42" s="1"/>
      <c r="E42" s="1"/>
      <c r="F42" s="1"/>
      <c r="G42" s="1"/>
      <c r="H42" s="1"/>
      <c r="I42" s="1"/>
      <c r="J42" s="1"/>
      <c r="K42" s="1"/>
      <c r="L42" s="1"/>
      <c r="M42" s="1"/>
      <c r="N42" s="1"/>
      <c r="O42" s="1"/>
      <c r="P42" s="1"/>
      <c r="Q42" s="1"/>
      <c r="R42" s="1"/>
    </row>
    <row r="43" spans="2:18">
      <c r="C43" s="1"/>
      <c r="D43" s="1"/>
      <c r="E43" s="1"/>
      <c r="F43" s="1"/>
      <c r="G43" s="1"/>
      <c r="H43" s="1"/>
      <c r="I43" s="1"/>
      <c r="J43" s="1"/>
      <c r="K43" s="1"/>
      <c r="L43" s="1"/>
      <c r="M43" s="1"/>
      <c r="N43" s="1"/>
      <c r="O43" s="1"/>
      <c r="P43" s="1"/>
      <c r="Q43" s="1"/>
      <c r="R43" s="1"/>
    </row>
    <row r="44" spans="2:18">
      <c r="C44" s="445" t="s">
        <v>1158</v>
      </c>
      <c r="D44" s="5"/>
      <c r="E44" s="6"/>
      <c r="F44" s="1"/>
      <c r="G44" s="4" t="s">
        <v>1159</v>
      </c>
      <c r="H44" s="5"/>
      <c r="I44" s="6"/>
      <c r="K44" s="1"/>
      <c r="L44" s="1"/>
      <c r="M44" s="1"/>
      <c r="N44" s="1"/>
      <c r="O44" s="1"/>
      <c r="P44" s="1"/>
      <c r="Q44" s="1"/>
      <c r="R44" s="1"/>
    </row>
    <row r="45" spans="2:18">
      <c r="B45" s="1"/>
      <c r="C45" s="7"/>
      <c r="D45" s="8"/>
      <c r="E45" s="9"/>
      <c r="F45" s="1"/>
      <c r="G45" s="7"/>
      <c r="H45" s="8"/>
      <c r="I45" s="9"/>
      <c r="K45" s="1"/>
      <c r="L45" s="1"/>
      <c r="M45" s="1"/>
      <c r="N45" s="1"/>
      <c r="O45" s="1"/>
      <c r="P45" s="1"/>
      <c r="Q45" s="1"/>
      <c r="R45" s="1"/>
    </row>
    <row r="46" spans="2:18">
      <c r="B46" s="165" t="s">
        <v>1114</v>
      </c>
      <c r="C46" s="446">
        <v>1.5</v>
      </c>
      <c r="D46" s="8"/>
      <c r="E46" s="9"/>
      <c r="F46" s="165" t="s">
        <v>1114</v>
      </c>
      <c r="G46" s="446">
        <v>1</v>
      </c>
      <c r="H46" s="8"/>
      <c r="I46" s="9"/>
      <c r="K46" s="1"/>
      <c r="L46" s="1"/>
      <c r="M46" s="1"/>
      <c r="N46" s="1"/>
      <c r="O46" s="1"/>
      <c r="P46" s="1"/>
      <c r="Q46" s="1"/>
      <c r="R46" s="1"/>
    </row>
    <row r="47" spans="2:18">
      <c r="B47" s="165" t="s">
        <v>1115</v>
      </c>
      <c r="C47" s="446">
        <v>1.9</v>
      </c>
      <c r="D47" s="8"/>
      <c r="E47" s="9"/>
      <c r="F47" s="165" t="s">
        <v>1115</v>
      </c>
      <c r="G47" s="446">
        <v>1.4</v>
      </c>
      <c r="H47" s="8"/>
      <c r="I47" s="9"/>
      <c r="K47" s="1"/>
      <c r="L47" s="1"/>
      <c r="M47" s="1"/>
      <c r="N47" s="1"/>
      <c r="O47" s="1"/>
      <c r="P47" s="1"/>
      <c r="Q47" s="1"/>
      <c r="R47" s="1"/>
    </row>
    <row r="48" spans="2:18">
      <c r="B48" s="165"/>
      <c r="C48" s="447"/>
      <c r="D48" s="8"/>
      <c r="E48" s="9"/>
      <c r="F48" s="165"/>
      <c r="G48" s="447"/>
      <c r="H48" s="8"/>
      <c r="I48" s="9"/>
      <c r="K48" s="1"/>
      <c r="L48" s="1"/>
      <c r="M48" s="1"/>
      <c r="N48" s="1"/>
      <c r="O48" s="1"/>
      <c r="P48" s="1"/>
      <c r="Q48" s="1"/>
      <c r="R48" s="1"/>
    </row>
    <row r="49" spans="1:18">
      <c r="B49" s="1"/>
      <c r="C49" s="448">
        <f>((C46-C47)/(C46+C47))^2</f>
        <v>1.3840830449826983E-2</v>
      </c>
      <c r="D49" s="225" t="s">
        <v>93</v>
      </c>
      <c r="E49" s="449">
        <f>C49</f>
        <v>1.3840830449826983E-2</v>
      </c>
      <c r="F49" s="1"/>
      <c r="G49" s="448">
        <f>((G46-G47)/(G46+G47))^2</f>
        <v>2.7777777777777766E-2</v>
      </c>
      <c r="H49" s="225" t="s">
        <v>93</v>
      </c>
      <c r="I49" s="449">
        <f>G49</f>
        <v>2.7777777777777766E-2</v>
      </c>
      <c r="K49" s="1"/>
      <c r="L49" s="1"/>
      <c r="M49" s="1"/>
      <c r="N49" s="1"/>
      <c r="O49" s="1"/>
      <c r="P49" s="1"/>
      <c r="Q49" s="1"/>
      <c r="R49" s="1"/>
    </row>
    <row r="50" spans="1:18">
      <c r="B50" s="1"/>
      <c r="C50" s="292"/>
      <c r="D50" s="1"/>
      <c r="E50" s="1"/>
      <c r="F50" s="1"/>
      <c r="G50" s="1"/>
      <c r="H50" s="1"/>
      <c r="I50" s="1"/>
      <c r="J50" s="1"/>
      <c r="K50" s="1"/>
      <c r="L50" s="1"/>
      <c r="M50" s="1"/>
      <c r="N50" s="1"/>
      <c r="O50" s="1"/>
      <c r="P50" s="1"/>
      <c r="Q50" s="1"/>
      <c r="R50" s="1"/>
    </row>
    <row r="51" spans="1:18">
      <c r="B51" s="2" t="s">
        <v>1116</v>
      </c>
      <c r="C51" s="1"/>
      <c r="D51" s="1"/>
      <c r="E51" s="1"/>
      <c r="F51" s="1"/>
      <c r="G51" s="1"/>
      <c r="H51" s="1"/>
      <c r="I51" s="1"/>
      <c r="J51" s="1"/>
      <c r="K51" s="1"/>
      <c r="L51" s="1"/>
      <c r="M51" s="1"/>
      <c r="N51" s="1"/>
      <c r="O51" s="1"/>
      <c r="P51" s="1"/>
      <c r="Q51" s="1"/>
      <c r="R51" s="1"/>
    </row>
    <row r="52" spans="1:18">
      <c r="B52" s="1" t="s">
        <v>1117</v>
      </c>
      <c r="C52" s="1"/>
      <c r="D52" s="1"/>
      <c r="E52" s="1"/>
      <c r="F52" s="1"/>
      <c r="G52" s="1"/>
      <c r="H52" s="1"/>
      <c r="I52" s="1"/>
      <c r="J52" s="1"/>
      <c r="K52" s="1"/>
      <c r="L52" s="1"/>
      <c r="M52" s="1"/>
      <c r="N52" s="1"/>
      <c r="O52" s="1"/>
      <c r="P52" s="1"/>
      <c r="Q52" s="1"/>
      <c r="R52" s="1"/>
    </row>
    <row r="53" spans="1:18">
      <c r="B53" s="1" t="s">
        <v>1118</v>
      </c>
      <c r="C53" s="1"/>
      <c r="D53" s="1"/>
      <c r="E53" s="1"/>
      <c r="F53" s="1"/>
      <c r="G53" s="1"/>
      <c r="H53" s="1"/>
      <c r="I53" s="1"/>
      <c r="J53" s="1"/>
      <c r="K53" s="1"/>
      <c r="L53" s="1"/>
      <c r="M53" s="1"/>
      <c r="N53" s="1"/>
      <c r="O53" s="1"/>
      <c r="P53" s="1"/>
      <c r="Q53" s="1"/>
      <c r="R53" s="1"/>
    </row>
    <row r="54" spans="1:18">
      <c r="B54" s="1"/>
      <c r="C54" s="1"/>
      <c r="D54" s="1"/>
      <c r="E54" s="1"/>
      <c r="F54" s="1"/>
      <c r="G54" s="1"/>
      <c r="H54" s="1"/>
      <c r="I54" s="1"/>
      <c r="J54" s="1"/>
      <c r="K54" s="1"/>
      <c r="L54" s="1"/>
      <c r="M54" s="1"/>
      <c r="N54" s="1"/>
      <c r="O54" s="1"/>
      <c r="P54" s="1"/>
      <c r="Q54" s="1"/>
      <c r="R54" s="1"/>
    </row>
    <row r="55" spans="1:18">
      <c r="A55" s="493" t="s">
        <v>1209</v>
      </c>
      <c r="B55" s="1"/>
      <c r="C55" s="1"/>
      <c r="D55" s="1"/>
      <c r="E55" s="1"/>
      <c r="F55" s="1"/>
      <c r="G55" s="1"/>
      <c r="H55" s="1"/>
      <c r="I55" s="1"/>
      <c r="J55" s="1"/>
      <c r="K55" s="1"/>
      <c r="L55" s="1"/>
      <c r="M55" s="1"/>
      <c r="N55" s="1"/>
      <c r="O55" s="1"/>
      <c r="P55" s="1"/>
      <c r="Q55" s="1"/>
      <c r="R55" s="1"/>
    </row>
    <row r="56" spans="1:18">
      <c r="A56" s="26" t="s">
        <v>1208</v>
      </c>
      <c r="B56" s="47"/>
      <c r="C56" s="26"/>
      <c r="D56" s="26"/>
      <c r="E56" s="26"/>
      <c r="F56" s="26"/>
      <c r="G56" s="26"/>
      <c r="H56" s="26"/>
      <c r="I56" s="26"/>
      <c r="J56" s="1"/>
      <c r="K56" s="1"/>
      <c r="L56" s="1"/>
      <c r="M56" s="1"/>
      <c r="N56" s="1"/>
      <c r="O56" s="1"/>
      <c r="P56" s="1"/>
      <c r="Q56" s="1"/>
      <c r="R56" s="1"/>
    </row>
    <row r="57" spans="1:18">
      <c r="A57" s="443">
        <v>0.1</v>
      </c>
      <c r="B57" s="412" t="s">
        <v>1206</v>
      </c>
      <c r="C57" s="444">
        <v>1</v>
      </c>
      <c r="D57" s="417">
        <f t="shared" ref="D57:I57" si="0">C57+$A57</f>
        <v>1.1000000000000001</v>
      </c>
      <c r="E57" s="417">
        <f t="shared" si="0"/>
        <v>1.2000000000000002</v>
      </c>
      <c r="F57" s="417">
        <f t="shared" si="0"/>
        <v>1.3000000000000003</v>
      </c>
      <c r="G57" s="417">
        <f t="shared" si="0"/>
        <v>1.4000000000000004</v>
      </c>
      <c r="H57" s="417">
        <f t="shared" si="0"/>
        <v>1.5000000000000004</v>
      </c>
      <c r="I57" s="417">
        <f t="shared" si="0"/>
        <v>1.6000000000000005</v>
      </c>
      <c r="J57" s="1"/>
      <c r="K57" s="1"/>
      <c r="L57" s="1"/>
      <c r="M57" s="1"/>
      <c r="N57" s="1"/>
      <c r="O57" s="1"/>
      <c r="P57" s="1"/>
      <c r="Q57" s="1"/>
      <c r="R57" s="1"/>
    </row>
    <row r="58" spans="1:18">
      <c r="A58" s="443">
        <v>0.5</v>
      </c>
      <c r="B58" s="412" t="s">
        <v>1207</v>
      </c>
      <c r="C58" s="417">
        <f t="shared" ref="C58:I58" si="1">C57+$A58</f>
        <v>1.5</v>
      </c>
      <c r="D58" s="417">
        <f t="shared" si="1"/>
        <v>1.6</v>
      </c>
      <c r="E58" s="417">
        <f t="shared" si="1"/>
        <v>1.7000000000000002</v>
      </c>
      <c r="F58" s="417">
        <f t="shared" si="1"/>
        <v>1.8000000000000003</v>
      </c>
      <c r="G58" s="417">
        <f t="shared" si="1"/>
        <v>1.9000000000000004</v>
      </c>
      <c r="H58" s="417">
        <f t="shared" si="1"/>
        <v>2.0000000000000004</v>
      </c>
      <c r="I58" s="417">
        <f t="shared" si="1"/>
        <v>2.1000000000000005</v>
      </c>
      <c r="J58" s="1"/>
      <c r="K58" s="1"/>
      <c r="L58" s="1"/>
      <c r="M58" s="1"/>
      <c r="N58" s="1"/>
      <c r="O58" s="1"/>
      <c r="P58" s="1"/>
      <c r="Q58" s="1"/>
      <c r="R58" s="1"/>
    </row>
    <row r="59" spans="1:18">
      <c r="B59" s="346"/>
      <c r="C59" s="442"/>
      <c r="D59" s="442"/>
      <c r="E59" s="442"/>
      <c r="F59" s="442"/>
      <c r="G59" s="442"/>
      <c r="H59" s="442"/>
      <c r="I59" s="442"/>
      <c r="J59" s="1"/>
      <c r="K59" s="1"/>
      <c r="L59" s="1"/>
      <c r="M59" s="1"/>
      <c r="N59" s="1"/>
      <c r="O59" s="1"/>
      <c r="P59" s="1"/>
      <c r="Q59" s="1"/>
      <c r="R59" s="1"/>
    </row>
    <row r="60" spans="1:18">
      <c r="B60" s="165" t="s">
        <v>1212</v>
      </c>
      <c r="C60" s="418">
        <f>C58-C57</f>
        <v>0.5</v>
      </c>
      <c r="D60" s="418">
        <f t="shared" ref="D60:I60" si="2">D58-D57</f>
        <v>0.5</v>
      </c>
      <c r="E60" s="418">
        <f t="shared" si="2"/>
        <v>0.5</v>
      </c>
      <c r="F60" s="418">
        <f t="shared" si="2"/>
        <v>0.5</v>
      </c>
      <c r="G60" s="418">
        <f t="shared" si="2"/>
        <v>0.5</v>
      </c>
      <c r="H60" s="418">
        <f t="shared" si="2"/>
        <v>0.5</v>
      </c>
      <c r="I60" s="418">
        <f t="shared" si="2"/>
        <v>0.5</v>
      </c>
      <c r="J60" s="1"/>
      <c r="K60" s="1"/>
      <c r="L60" s="1"/>
      <c r="M60" s="1"/>
      <c r="N60" s="1"/>
      <c r="O60" s="1"/>
      <c r="P60" s="1"/>
      <c r="Q60" s="1"/>
      <c r="R60" s="1"/>
    </row>
    <row r="61" spans="1:18">
      <c r="B61" s="165" t="s">
        <v>1211</v>
      </c>
      <c r="C61" s="419">
        <f>((C57-C58)/(C57+C58))^2</f>
        <v>4.0000000000000008E-2</v>
      </c>
      <c r="D61" s="419">
        <f t="shared" ref="D61:I61" si="3">((D57-D58)/(D57+D58))^2</f>
        <v>3.4293552812071325E-2</v>
      </c>
      <c r="E61" s="419">
        <f t="shared" si="3"/>
        <v>2.9726516052318661E-2</v>
      </c>
      <c r="F61" s="419">
        <f t="shared" si="3"/>
        <v>2.6014568158168563E-2</v>
      </c>
      <c r="G61" s="419">
        <f t="shared" si="3"/>
        <v>2.2956841138659312E-2</v>
      </c>
      <c r="H61" s="419">
        <f t="shared" si="3"/>
        <v>2.0408163265306114E-2</v>
      </c>
      <c r="I61" s="419">
        <f t="shared" si="3"/>
        <v>1.8261504747991222E-2</v>
      </c>
      <c r="J61" s="1"/>
      <c r="K61" s="1"/>
      <c r="L61" s="1"/>
      <c r="M61" s="1"/>
      <c r="N61" s="1"/>
      <c r="O61" s="1"/>
      <c r="P61" s="1"/>
      <c r="Q61" s="1"/>
      <c r="R61" s="1"/>
    </row>
    <row r="62" spans="1:18">
      <c r="B62" s="165" t="s">
        <v>1210</v>
      </c>
      <c r="C62" s="420">
        <f>C61</f>
        <v>4.0000000000000008E-2</v>
      </c>
      <c r="D62" s="420">
        <f t="shared" ref="D62:I62" si="4">D61</f>
        <v>3.4293552812071325E-2</v>
      </c>
      <c r="E62" s="420">
        <f t="shared" si="4"/>
        <v>2.9726516052318661E-2</v>
      </c>
      <c r="F62" s="420">
        <f t="shared" si="4"/>
        <v>2.6014568158168563E-2</v>
      </c>
      <c r="G62" s="420">
        <f t="shared" si="4"/>
        <v>2.2956841138659312E-2</v>
      </c>
      <c r="H62" s="420">
        <f t="shared" si="4"/>
        <v>2.0408163265306114E-2</v>
      </c>
      <c r="I62" s="420">
        <f t="shared" si="4"/>
        <v>1.8261504747991222E-2</v>
      </c>
      <c r="J62" s="1"/>
      <c r="K62" s="1"/>
      <c r="L62" s="1"/>
      <c r="M62" s="1"/>
      <c r="N62" s="1"/>
      <c r="O62" s="1"/>
      <c r="P62" s="1"/>
      <c r="Q62" s="1"/>
      <c r="R62" s="1"/>
    </row>
    <row r="63" spans="1:18">
      <c r="B63" s="1"/>
      <c r="C63" s="1"/>
      <c r="D63" s="1"/>
      <c r="E63" s="1"/>
      <c r="F63" s="1"/>
      <c r="G63" s="1"/>
      <c r="H63" s="1"/>
      <c r="I63" s="1"/>
      <c r="J63" s="1"/>
      <c r="K63" s="1"/>
      <c r="L63" s="1"/>
      <c r="M63" s="1"/>
      <c r="N63" s="1"/>
      <c r="O63" s="1"/>
      <c r="P63" s="1"/>
      <c r="Q63" s="1"/>
      <c r="R63" s="1"/>
    </row>
    <row r="64" spans="1:18">
      <c r="B64" s="1"/>
      <c r="C64" s="1"/>
      <c r="D64" s="1"/>
      <c r="E64" s="1"/>
      <c r="F64" s="1"/>
      <c r="G64" s="1"/>
      <c r="H64" s="1"/>
      <c r="I64" s="1"/>
      <c r="J64" s="1"/>
      <c r="K64" s="1"/>
      <c r="L64" s="1"/>
      <c r="M64" s="1"/>
      <c r="N64" s="1"/>
      <c r="O64" s="1"/>
      <c r="P64" s="1"/>
      <c r="Q64" s="1"/>
      <c r="R64" s="1"/>
    </row>
    <row r="65" spans="2:18">
      <c r="H65" s="1"/>
      <c r="I65" s="1"/>
      <c r="J65" s="1"/>
      <c r="K65" s="1"/>
      <c r="L65" s="1"/>
      <c r="M65" s="1"/>
      <c r="N65" s="1"/>
      <c r="O65" s="1"/>
      <c r="P65" s="1"/>
      <c r="Q65" s="1"/>
      <c r="R65" s="1"/>
    </row>
    <row r="70" spans="2:18">
      <c r="B70" s="378" t="s">
        <v>992</v>
      </c>
    </row>
    <row r="72" spans="2:18">
      <c r="B72" s="379" t="s">
        <v>993</v>
      </c>
      <c r="C72" s="380">
        <v>1</v>
      </c>
    </row>
    <row r="73" spans="2:18">
      <c r="B73" s="379" t="s">
        <v>994</v>
      </c>
      <c r="C73" s="380">
        <v>1.5</v>
      </c>
    </row>
    <row r="75" spans="2:18">
      <c r="B75" s="379" t="s">
        <v>995</v>
      </c>
      <c r="C75" s="47">
        <f>((C72-C73)/(C72+C73))^2</f>
        <v>4.0000000000000008E-2</v>
      </c>
      <c r="E75" s="414" t="s">
        <v>1111</v>
      </c>
    </row>
    <row r="76" spans="2:18">
      <c r="B76" s="379" t="s">
        <v>996</v>
      </c>
      <c r="C76" s="494">
        <f>C75</f>
        <v>4.0000000000000008E-2</v>
      </c>
    </row>
    <row r="77" spans="2:18">
      <c r="B77" s="379" t="s">
        <v>997</v>
      </c>
      <c r="C77" s="382">
        <f>1-C76</f>
        <v>0.96</v>
      </c>
    </row>
    <row r="80" spans="2:18">
      <c r="B80" s="378" t="s">
        <v>998</v>
      </c>
    </row>
    <row r="82" spans="2:6">
      <c r="B82" s="379" t="s">
        <v>993</v>
      </c>
      <c r="C82" s="380">
        <v>1</v>
      </c>
      <c r="E82" s="383"/>
      <c r="F82" s="384"/>
    </row>
    <row r="83" spans="2:6">
      <c r="B83" s="379" t="s">
        <v>999</v>
      </c>
      <c r="C83" s="380">
        <v>1.3</v>
      </c>
      <c r="E83" s="385"/>
      <c r="F83" s="385"/>
    </row>
    <row r="84" spans="2:6">
      <c r="B84" s="379" t="s">
        <v>1000</v>
      </c>
      <c r="C84" s="380">
        <v>1.6</v>
      </c>
      <c r="E84" s="383"/>
      <c r="F84" s="386"/>
    </row>
    <row r="85" spans="2:6">
      <c r="F85" s="387"/>
    </row>
    <row r="86" spans="2:6">
      <c r="B86" s="379" t="s">
        <v>1001</v>
      </c>
      <c r="C86" s="47">
        <f>((C82-C83)/(C82+C83))^2</f>
        <v>1.70132325141777E-2</v>
      </c>
    </row>
    <row r="87" spans="2:6">
      <c r="B87" s="379" t="s">
        <v>996</v>
      </c>
      <c r="C87" s="494">
        <f>C86</f>
        <v>1.70132325141777E-2</v>
      </c>
      <c r="F87" s="387"/>
    </row>
    <row r="88" spans="2:6">
      <c r="B88" s="379" t="s">
        <v>1002</v>
      </c>
      <c r="C88" s="382">
        <f>1-C87</f>
        <v>0.98298676748582225</v>
      </c>
      <c r="F88" s="387"/>
    </row>
    <row r="90" spans="2:6">
      <c r="B90" s="379" t="s">
        <v>1003</v>
      </c>
      <c r="C90" s="47">
        <f>((C83-C84)/(C83+C84))^2</f>
        <v>1.070154577883472E-2</v>
      </c>
    </row>
    <row r="91" spans="2:6">
      <c r="B91" s="379" t="s">
        <v>996</v>
      </c>
      <c r="C91" s="494">
        <f>C90</f>
        <v>1.070154577883472E-2</v>
      </c>
    </row>
    <row r="92" spans="2:6">
      <c r="B92" s="379" t="s">
        <v>997</v>
      </c>
      <c r="C92" s="382">
        <f>C88-C88*C91</f>
        <v>0.97246728959358397</v>
      </c>
      <c r="E92" s="381"/>
    </row>
    <row r="93" spans="2:6">
      <c r="B93" s="412" t="s">
        <v>1213</v>
      </c>
      <c r="C93" s="495">
        <f>1-C92</f>
        <v>2.7532710406416028E-2</v>
      </c>
    </row>
    <row r="96" spans="2:6">
      <c r="B96" s="378" t="s">
        <v>1004</v>
      </c>
    </row>
    <row r="98" spans="2:9">
      <c r="B98" s="379" t="s">
        <v>993</v>
      </c>
      <c r="C98" s="380">
        <v>1</v>
      </c>
      <c r="E98" s="383"/>
      <c r="F98" s="384"/>
    </row>
    <row r="99" spans="2:9">
      <c r="B99" s="379" t="s">
        <v>1005</v>
      </c>
      <c r="C99" s="380">
        <v>1.2</v>
      </c>
      <c r="E99" s="388"/>
      <c r="F99" s="388"/>
    </row>
    <row r="100" spans="2:9">
      <c r="B100" s="379" t="s">
        <v>1006</v>
      </c>
      <c r="C100" s="380">
        <v>1.4</v>
      </c>
      <c r="E100" s="389"/>
      <c r="F100" s="390"/>
    </row>
    <row r="101" spans="2:9">
      <c r="B101" s="379" t="s">
        <v>1000</v>
      </c>
      <c r="C101" s="380">
        <v>1.6</v>
      </c>
      <c r="E101" s="383"/>
      <c r="F101" s="386"/>
    </row>
    <row r="103" spans="2:9">
      <c r="B103" s="379" t="s">
        <v>1001</v>
      </c>
      <c r="C103" s="47">
        <f>((C98-C99)/(C98+C99))^2</f>
        <v>8.2644628099173504E-3</v>
      </c>
      <c r="F103" s="387"/>
    </row>
    <row r="104" spans="2:9">
      <c r="B104" s="379" t="s">
        <v>996</v>
      </c>
      <c r="C104" s="381">
        <f>C103</f>
        <v>8.2644628099173504E-3</v>
      </c>
      <c r="F104" s="387"/>
    </row>
    <row r="105" spans="2:9">
      <c r="B105" s="379" t="s">
        <v>1007</v>
      </c>
      <c r="C105" s="382">
        <f>1-C104*1</f>
        <v>0.99173553719008267</v>
      </c>
    </row>
    <row r="106" spans="2:9">
      <c r="H106" s="387"/>
    </row>
    <row r="107" spans="2:9">
      <c r="B107" s="379" t="s">
        <v>1003</v>
      </c>
      <c r="C107" s="47">
        <f>((C99-C100)/(C99+C100))^2</f>
        <v>5.9171597633136076E-3</v>
      </c>
    </row>
    <row r="108" spans="2:9">
      <c r="B108" s="379" t="s">
        <v>996</v>
      </c>
      <c r="C108" s="391">
        <f>C107</f>
        <v>5.9171597633136076E-3</v>
      </c>
      <c r="E108" s="392"/>
      <c r="I108" s="387"/>
    </row>
    <row r="109" spans="2:9">
      <c r="B109" s="379" t="s">
        <v>1008</v>
      </c>
      <c r="C109" s="382">
        <f>C105-C105*C108</f>
        <v>0.98586727957357334</v>
      </c>
    </row>
    <row r="111" spans="2:9">
      <c r="B111" s="379" t="s">
        <v>1009</v>
      </c>
      <c r="C111" s="47">
        <f>((C100-C101)/(C100+C101))^2</f>
        <v>4.4444444444444514E-3</v>
      </c>
    </row>
    <row r="112" spans="2:9">
      <c r="B112" s="379" t="s">
        <v>996</v>
      </c>
      <c r="C112" s="381">
        <f>C111</f>
        <v>4.4444444444444514E-3</v>
      </c>
    </row>
    <row r="113" spans="1:4">
      <c r="B113" s="379" t="s">
        <v>997</v>
      </c>
      <c r="C113" s="382">
        <f>C109-C109*C112</f>
        <v>0.98148564721991305</v>
      </c>
    </row>
    <row r="115" spans="1:4">
      <c r="B115" s="378" t="s">
        <v>1010</v>
      </c>
      <c r="C115" s="393">
        <f>1-C113</f>
        <v>1.8514352780086951E-2</v>
      </c>
    </row>
    <row r="118" spans="1:4">
      <c r="B118" s="378" t="s">
        <v>1214</v>
      </c>
    </row>
    <row r="120" spans="1:4">
      <c r="B120" s="379" t="s">
        <v>1011</v>
      </c>
      <c r="C120" s="394">
        <f>C113-(C113*C115)</f>
        <v>0.96331407569869165</v>
      </c>
    </row>
    <row r="121" spans="1:4">
      <c r="C121" s="394"/>
    </row>
    <row r="122" spans="1:4">
      <c r="A122" s="395"/>
      <c r="B122" s="396" t="s">
        <v>1012</v>
      </c>
      <c r="C122" s="397">
        <f>C120-C115*C120</f>
        <v>0.9454789390631827</v>
      </c>
    </row>
    <row r="123" spans="1:4">
      <c r="A123" s="398"/>
      <c r="B123" s="399"/>
      <c r="C123" s="400"/>
      <c r="D123" s="47" t="s">
        <v>1013</v>
      </c>
    </row>
    <row r="124" spans="1:4">
      <c r="A124" s="401"/>
      <c r="B124" s="402" t="s">
        <v>1014</v>
      </c>
      <c r="C124" s="403">
        <f>C122-C115*C122</f>
        <v>0.92797400843922462</v>
      </c>
    </row>
    <row r="125" spans="1:4">
      <c r="C125" s="394"/>
    </row>
    <row r="126" spans="1:4">
      <c r="A126" s="395"/>
      <c r="B126" s="396" t="s">
        <v>1015</v>
      </c>
      <c r="C126" s="397">
        <f>C124-$C$115*C124</f>
        <v>0.91079317027622941</v>
      </c>
    </row>
    <row r="127" spans="1:4">
      <c r="A127" s="398"/>
      <c r="B127" s="399"/>
      <c r="C127" s="400"/>
      <c r="D127" s="47" t="s">
        <v>1016</v>
      </c>
    </row>
    <row r="128" spans="1:4">
      <c r="A128" s="401"/>
      <c r="B128" s="402" t="s">
        <v>1017</v>
      </c>
      <c r="C128" s="403">
        <f>C126-$C$115*C126</f>
        <v>0.8939304242120415</v>
      </c>
    </row>
    <row r="129" spans="1:4">
      <c r="C129" s="394"/>
    </row>
    <row r="130" spans="1:4">
      <c r="A130" s="395"/>
      <c r="B130" s="396" t="s">
        <v>1018</v>
      </c>
      <c r="C130" s="397">
        <f>C128-$C$115*C128</f>
        <v>0.877379880977327</v>
      </c>
    </row>
    <row r="131" spans="1:4">
      <c r="A131" s="398"/>
      <c r="B131" s="399"/>
      <c r="C131" s="400"/>
      <c r="D131" s="47" t="s">
        <v>1019</v>
      </c>
    </row>
    <row r="132" spans="1:4">
      <c r="A132" s="401"/>
      <c r="B132" s="402" t="s">
        <v>1020</v>
      </c>
      <c r="C132" s="403">
        <f>C130-$C$115*C130</f>
        <v>0.86113576033876205</v>
      </c>
    </row>
    <row r="133" spans="1:4">
      <c r="C133" s="394"/>
    </row>
    <row r="134" spans="1:4">
      <c r="A134" s="395"/>
      <c r="B134" s="396" t="s">
        <v>1021</v>
      </c>
      <c r="C134" s="397">
        <f>C132-$C$115*C132</f>
        <v>0.84519238908030181</v>
      </c>
    </row>
    <row r="135" spans="1:4">
      <c r="A135" s="398"/>
      <c r="B135" s="399"/>
      <c r="C135" s="400"/>
      <c r="D135" s="47" t="s">
        <v>1022</v>
      </c>
    </row>
    <row r="136" spans="1:4">
      <c r="A136" s="401"/>
      <c r="B136" s="402" t="s">
        <v>1023</v>
      </c>
      <c r="C136" s="403">
        <f>C134-$C$115*C134</f>
        <v>0.82954419902182464</v>
      </c>
    </row>
    <row r="137" spans="1:4">
      <c r="C137" s="394"/>
    </row>
    <row r="138" spans="1:4">
      <c r="A138" s="395"/>
      <c r="B138" s="396" t="s">
        <v>1024</v>
      </c>
      <c r="C138" s="397">
        <f>C136-$C$115*C136</f>
        <v>0.81418572507445997</v>
      </c>
    </row>
    <row r="139" spans="1:4">
      <c r="A139" s="398"/>
      <c r="B139" s="399"/>
      <c r="C139" s="400"/>
      <c r="D139" s="47" t="s">
        <v>1025</v>
      </c>
    </row>
    <row r="140" spans="1:4">
      <c r="A140" s="401"/>
      <c r="B140" s="402" t="s">
        <v>1026</v>
      </c>
      <c r="C140" s="403">
        <f>C138-$C$115*C138</f>
        <v>0.79911160333192055</v>
      </c>
    </row>
    <row r="141" spans="1:4">
      <c r="C141" s="394"/>
    </row>
    <row r="142" spans="1:4">
      <c r="A142" s="395"/>
      <c r="B142" s="396" t="s">
        <v>1027</v>
      </c>
      <c r="C142" s="397">
        <f>C140-$C$115*C140</f>
        <v>0.78431656919717252</v>
      </c>
    </row>
    <row r="143" spans="1:4">
      <c r="A143" s="398"/>
      <c r="B143" s="399"/>
      <c r="C143" s="400"/>
      <c r="D143" s="47" t="s">
        <v>1028</v>
      </c>
    </row>
    <row r="144" spans="1:4">
      <c r="A144" s="401"/>
      <c r="B144" s="402" t="s">
        <v>1029</v>
      </c>
      <c r="C144" s="403">
        <f>C142-$C$115*C142</f>
        <v>0.76979545554378859</v>
      </c>
    </row>
    <row r="145" spans="1:4">
      <c r="C145" s="394"/>
    </row>
    <row r="146" spans="1:4">
      <c r="A146" s="395"/>
      <c r="B146" s="396" t="s">
        <v>1030</v>
      </c>
      <c r="C146" s="397">
        <f>C144-$C$115*C144</f>
        <v>0.75554319091134314</v>
      </c>
    </row>
    <row r="147" spans="1:4">
      <c r="A147" s="398"/>
      <c r="B147" s="399"/>
      <c r="C147" s="400"/>
      <c r="D147" s="47" t="s">
        <v>1031</v>
      </c>
    </row>
    <row r="148" spans="1:4">
      <c r="A148" s="401"/>
      <c r="B148" s="402" t="s">
        <v>1033</v>
      </c>
      <c r="C148" s="403">
        <f>C146-$C$115*C146</f>
        <v>0.74155479773421795</v>
      </c>
    </row>
    <row r="149" spans="1:4">
      <c r="C149" s="394"/>
    </row>
    <row r="150" spans="1:4">
      <c r="A150" s="395"/>
      <c r="B150" s="396" t="s">
        <v>1035</v>
      </c>
      <c r="C150" s="397">
        <f>C148-$C$115*C148</f>
        <v>0.72782539060320062</v>
      </c>
    </row>
    <row r="151" spans="1:4">
      <c r="A151" s="398"/>
      <c r="B151" s="399"/>
      <c r="C151" s="400"/>
      <c r="D151" s="47" t="s">
        <v>1036</v>
      </c>
    </row>
    <row r="152" spans="1:4">
      <c r="A152" s="401"/>
      <c r="B152" s="402" t="s">
        <v>1037</v>
      </c>
      <c r="C152" s="403">
        <f>C150-$C$115*C150</f>
        <v>0.71435017455926841</v>
      </c>
    </row>
    <row r="153" spans="1:4">
      <c r="C153" s="394"/>
    </row>
    <row r="154" spans="1:4">
      <c r="C154" s="394"/>
    </row>
    <row r="155" spans="1:4">
      <c r="C155" s="394"/>
    </row>
    <row r="156" spans="1:4">
      <c r="C156" s="394"/>
    </row>
    <row r="157" spans="1:4">
      <c r="C157" s="394"/>
    </row>
    <row r="158" spans="1:4">
      <c r="C158" s="394"/>
    </row>
    <row r="159" spans="1:4">
      <c r="C159" s="394"/>
    </row>
    <row r="162" spans="2:11">
      <c r="B162" s="1" t="s">
        <v>1039</v>
      </c>
      <c r="C162" s="1"/>
      <c r="D162" s="1"/>
      <c r="E162" s="1" t="s">
        <v>1040</v>
      </c>
      <c r="F162" s="1"/>
      <c r="G162" s="1"/>
      <c r="H162" s="1"/>
      <c r="I162" s="1"/>
      <c r="J162" s="1"/>
      <c r="K162" s="1"/>
    </row>
    <row r="163" spans="2:11">
      <c r="B163" s="1"/>
      <c r="C163" s="1"/>
      <c r="D163" s="1"/>
      <c r="E163" s="1"/>
      <c r="F163" s="1"/>
      <c r="G163" s="1"/>
      <c r="H163" s="1"/>
      <c r="I163" s="1"/>
      <c r="J163" s="1"/>
      <c r="K163" s="1"/>
    </row>
    <row r="164" spans="2:11">
      <c r="B164" s="1"/>
      <c r="C164" s="1"/>
      <c r="D164" s="165" t="s">
        <v>1041</v>
      </c>
      <c r="E164" s="326">
        <v>1</v>
      </c>
      <c r="F164" s="1"/>
      <c r="G164" s="1"/>
      <c r="H164" s="1"/>
      <c r="I164" s="1"/>
      <c r="J164" s="1"/>
      <c r="K164" s="1"/>
    </row>
    <row r="165" spans="2:11">
      <c r="B165" s="1"/>
      <c r="C165" s="1"/>
      <c r="D165" s="165" t="s">
        <v>1042</v>
      </c>
      <c r="E165" s="326">
        <v>1.7250000000000001</v>
      </c>
      <c r="F165" s="1"/>
      <c r="G165" s="1"/>
      <c r="H165" s="1"/>
      <c r="I165" s="1"/>
      <c r="J165" s="1"/>
      <c r="K165" s="1"/>
    </row>
    <row r="166" spans="2:11">
      <c r="B166" s="1"/>
      <c r="C166" s="1"/>
      <c r="D166" s="165" t="s">
        <v>1043</v>
      </c>
      <c r="E166" s="381">
        <f>((E164-E165)/(E164+E165))^2</f>
        <v>7.0785287433717703E-2</v>
      </c>
      <c r="F166" s="1"/>
      <c r="G166" s="2" t="s">
        <v>1044</v>
      </c>
      <c r="H166" s="1"/>
      <c r="I166" s="1"/>
      <c r="J166" s="1"/>
      <c r="K166" s="1"/>
    </row>
    <row r="167" spans="2:11">
      <c r="B167" s="1"/>
      <c r="C167" s="1"/>
      <c r="D167" s="165"/>
      <c r="E167" s="1"/>
      <c r="F167" s="1"/>
      <c r="G167" s="1"/>
      <c r="H167" s="1"/>
      <c r="I167" s="1"/>
      <c r="J167" s="1"/>
      <c r="K167" s="1"/>
    </row>
    <row r="168" spans="2:11">
      <c r="B168" s="1" t="s">
        <v>1045</v>
      </c>
      <c r="C168" s="1"/>
      <c r="D168" s="165"/>
      <c r="E168" s="1"/>
      <c r="F168" s="1"/>
      <c r="G168" s="1"/>
      <c r="H168" s="1"/>
      <c r="I168" s="1"/>
      <c r="J168" s="1"/>
      <c r="K168" s="1"/>
    </row>
    <row r="169" spans="2:11">
      <c r="B169" s="1"/>
      <c r="C169" s="1"/>
      <c r="D169" s="1"/>
      <c r="E169" s="1"/>
      <c r="F169" s="1"/>
      <c r="G169" s="1"/>
      <c r="H169" s="1"/>
      <c r="I169" s="1"/>
      <c r="J169" s="1"/>
      <c r="K169" s="1"/>
    </row>
    <row r="170" spans="2:11">
      <c r="B170" s="1"/>
      <c r="C170" s="1"/>
      <c r="D170" s="165" t="s">
        <v>1041</v>
      </c>
      <c r="E170" s="326">
        <v>1</v>
      </c>
      <c r="F170" s="1"/>
      <c r="G170" s="1"/>
      <c r="H170" s="1"/>
      <c r="I170" s="1"/>
      <c r="J170" s="1"/>
      <c r="K170" s="1"/>
    </row>
    <row r="171" spans="2:11">
      <c r="B171" s="1"/>
      <c r="C171" s="1"/>
      <c r="D171" s="165" t="s">
        <v>1046</v>
      </c>
      <c r="E171" s="326">
        <v>1.25</v>
      </c>
      <c r="F171" s="1"/>
      <c r="G171" s="1"/>
      <c r="H171" s="1"/>
      <c r="I171" s="1"/>
      <c r="J171" s="1"/>
      <c r="K171" s="1"/>
    </row>
    <row r="172" spans="2:11">
      <c r="B172" s="1"/>
      <c r="C172" s="1"/>
      <c r="D172" s="165" t="s">
        <v>1042</v>
      </c>
      <c r="E172" s="326">
        <v>1.5</v>
      </c>
      <c r="F172" s="1"/>
      <c r="G172" s="1"/>
      <c r="H172" s="1"/>
      <c r="I172" s="1"/>
      <c r="J172" s="1"/>
      <c r="K172" s="1"/>
    </row>
    <row r="173" spans="2:11">
      <c r="B173" s="1"/>
      <c r="C173" s="1"/>
      <c r="D173" s="165"/>
      <c r="E173" s="1"/>
      <c r="F173" s="1"/>
      <c r="G173" s="1"/>
      <c r="H173" s="1"/>
      <c r="I173" s="1"/>
      <c r="J173" s="1"/>
      <c r="K173" s="1"/>
    </row>
    <row r="174" spans="2:11">
      <c r="B174" s="1"/>
      <c r="C174" s="1"/>
      <c r="D174" s="165" t="s">
        <v>1047</v>
      </c>
      <c r="E174" s="381">
        <f>((E170-E171)/(E170+E171))^2</f>
        <v>1.2345679012345678E-2</v>
      </c>
      <c r="F174" s="1"/>
      <c r="G174" s="2" t="s">
        <v>1044</v>
      </c>
      <c r="H174" s="1"/>
      <c r="I174" s="1"/>
      <c r="J174" s="1"/>
      <c r="K174" s="1"/>
    </row>
    <row r="175" spans="2:11">
      <c r="B175" s="1"/>
      <c r="C175" s="1"/>
      <c r="D175" s="165" t="s">
        <v>1048</v>
      </c>
      <c r="E175" s="381">
        <f>((E171-E172)/(E171+E172))^2</f>
        <v>8.2644628099173556E-3</v>
      </c>
      <c r="F175" s="1"/>
      <c r="G175" s="2" t="s">
        <v>1044</v>
      </c>
      <c r="H175" s="1"/>
      <c r="I175" s="1"/>
      <c r="J175" s="1"/>
      <c r="K175" s="1"/>
    </row>
    <row r="176" spans="2:11">
      <c r="B176" s="1"/>
      <c r="C176" s="1"/>
      <c r="D176" s="165" t="s">
        <v>1043</v>
      </c>
      <c r="E176" s="381">
        <f>E174+E175</f>
        <v>2.0610141822263034E-2</v>
      </c>
      <c r="F176" s="1"/>
      <c r="G176" s="1"/>
      <c r="H176" s="1"/>
      <c r="I176" s="1"/>
      <c r="J176" s="1"/>
      <c r="K176" s="1"/>
    </row>
    <row r="177" spans="2:11">
      <c r="B177" s="1"/>
      <c r="C177" s="1"/>
      <c r="D177" s="1"/>
      <c r="E177" s="1"/>
      <c r="F177" s="1"/>
      <c r="G177" s="1"/>
      <c r="H177" s="1"/>
      <c r="I177" s="1"/>
      <c r="J177" s="1"/>
      <c r="K177" s="1"/>
    </row>
    <row r="178" spans="2:11">
      <c r="B178" s="1"/>
      <c r="C178" s="1"/>
      <c r="D178" s="1"/>
      <c r="E178" s="1"/>
      <c r="F178" s="1"/>
      <c r="G178" s="1"/>
      <c r="H178" s="1"/>
      <c r="I178" s="1"/>
      <c r="J178" s="1"/>
      <c r="K178" s="1"/>
    </row>
    <row r="179" spans="2:11">
      <c r="B179" s="1" t="s">
        <v>1049</v>
      </c>
      <c r="C179" s="1"/>
      <c r="D179" s="165"/>
      <c r="E179" s="1"/>
      <c r="F179" s="1"/>
      <c r="G179" s="1"/>
      <c r="H179" s="1"/>
      <c r="I179" s="1"/>
      <c r="J179" s="1"/>
      <c r="K179" s="1"/>
    </row>
    <row r="180" spans="2:11">
      <c r="B180" s="1"/>
      <c r="C180" s="1"/>
      <c r="D180" s="1"/>
      <c r="E180" s="1"/>
      <c r="F180" s="1"/>
      <c r="G180" s="1"/>
      <c r="H180" s="1"/>
      <c r="I180" s="1"/>
      <c r="J180" s="1"/>
      <c r="K180" s="1"/>
    </row>
    <row r="181" spans="2:11">
      <c r="B181" s="1"/>
      <c r="C181" s="1"/>
      <c r="D181" s="165" t="s">
        <v>1041</v>
      </c>
      <c r="E181" s="326">
        <v>1.05</v>
      </c>
      <c r="F181" s="1"/>
      <c r="G181" s="1"/>
      <c r="H181" s="1"/>
      <c r="I181" s="1"/>
      <c r="J181" s="1"/>
      <c r="K181" s="1"/>
    </row>
    <row r="182" spans="2:11">
      <c r="B182" s="1"/>
      <c r="C182" s="1"/>
      <c r="D182" s="165" t="s">
        <v>1046</v>
      </c>
      <c r="E182" s="326">
        <v>1.234</v>
      </c>
      <c r="F182" s="1"/>
      <c r="G182" s="1"/>
      <c r="H182" s="1"/>
      <c r="I182" s="1"/>
      <c r="J182" s="1"/>
      <c r="K182" s="1"/>
    </row>
    <row r="183" spans="2:11">
      <c r="B183" s="1"/>
      <c r="C183" s="1"/>
      <c r="D183" s="165" t="s">
        <v>1050</v>
      </c>
      <c r="E183" s="326">
        <v>1.456</v>
      </c>
      <c r="F183" s="1"/>
      <c r="G183" s="1"/>
      <c r="H183" s="1"/>
      <c r="I183" s="1"/>
      <c r="J183" s="1"/>
      <c r="K183" s="1"/>
    </row>
    <row r="184" spans="2:11">
      <c r="B184" s="1"/>
      <c r="C184" s="1"/>
      <c r="D184" s="165" t="s">
        <v>1042</v>
      </c>
      <c r="E184" s="326">
        <v>1.6779999999999999</v>
      </c>
      <c r="F184" s="1"/>
      <c r="G184" s="1"/>
      <c r="H184" s="1"/>
      <c r="I184" s="1"/>
      <c r="J184" s="1"/>
      <c r="K184" s="1"/>
    </row>
    <row r="185" spans="2:11">
      <c r="B185" s="1"/>
      <c r="C185" s="1"/>
      <c r="D185" s="1"/>
      <c r="E185" s="1"/>
      <c r="F185" s="1"/>
      <c r="G185" s="1"/>
      <c r="H185" s="1"/>
      <c r="I185" s="1"/>
      <c r="J185" s="1"/>
      <c r="K185" s="1"/>
    </row>
    <row r="186" spans="2:11">
      <c r="B186" s="1"/>
      <c r="C186" s="1"/>
      <c r="D186" s="165" t="s">
        <v>1047</v>
      </c>
      <c r="E186" s="394">
        <f>((E181-E182)/(E181+E182))^2</f>
        <v>6.4899813213675555E-3</v>
      </c>
      <c r="F186" s="1"/>
      <c r="G186" s="1"/>
      <c r="H186" s="1"/>
      <c r="I186" s="1"/>
      <c r="J186" s="1"/>
      <c r="K186" s="1"/>
    </row>
    <row r="187" spans="2:11">
      <c r="B187" s="1"/>
      <c r="C187" s="1"/>
      <c r="D187" s="165" t="s">
        <v>1048</v>
      </c>
      <c r="E187" s="394">
        <f>((E182-E183)/(E182+E183))^2</f>
        <v>6.8108511490996525E-3</v>
      </c>
      <c r="F187" s="1"/>
      <c r="G187" s="1"/>
      <c r="H187" s="1"/>
      <c r="I187" s="1"/>
      <c r="J187" s="1"/>
      <c r="K187" s="1"/>
    </row>
    <row r="188" spans="2:11">
      <c r="B188" s="1"/>
      <c r="C188" s="1"/>
      <c r="D188" s="165" t="s">
        <v>1051</v>
      </c>
      <c r="E188" s="394">
        <f>((E183-E184)/(E183+E184))^2</f>
        <v>5.0177378110836564E-3</v>
      </c>
      <c r="F188" s="1"/>
      <c r="G188" s="1"/>
      <c r="H188" s="1"/>
      <c r="I188" s="1"/>
      <c r="J188" s="1"/>
      <c r="K188" s="1"/>
    </row>
    <row r="189" spans="2:11">
      <c r="B189" s="1"/>
      <c r="C189" s="1"/>
      <c r="D189" s="165"/>
      <c r="E189" s="394"/>
      <c r="F189" s="1"/>
      <c r="G189" s="1"/>
      <c r="H189" s="1"/>
      <c r="I189" s="1"/>
      <c r="J189" s="1"/>
      <c r="K189" s="1"/>
    </row>
    <row r="190" spans="2:11">
      <c r="B190" s="1"/>
      <c r="C190" s="1"/>
      <c r="D190" s="165" t="s">
        <v>1043</v>
      </c>
      <c r="E190" s="394">
        <f>SUM(E186:E188)</f>
        <v>1.8318570281550865E-2</v>
      </c>
      <c r="F190" s="1"/>
      <c r="G190" s="1"/>
      <c r="H190" s="1"/>
      <c r="I190" s="1"/>
      <c r="J190" s="1"/>
      <c r="K190" s="1"/>
    </row>
    <row r="191" spans="2:11">
      <c r="B191" s="1"/>
      <c r="C191" s="1"/>
      <c r="D191" s="1"/>
      <c r="E191" s="1"/>
      <c r="F191" s="1"/>
      <c r="G191" s="1"/>
      <c r="H191" s="1"/>
      <c r="I191" s="1"/>
      <c r="J191" s="1"/>
      <c r="K191" s="1"/>
    </row>
    <row r="192" spans="2:11">
      <c r="B192" s="1"/>
      <c r="C192" s="1"/>
      <c r="D192" s="1"/>
      <c r="E192" s="1"/>
      <c r="F192" s="1"/>
      <c r="G192" s="1"/>
      <c r="H192" s="1"/>
      <c r="I192" s="1"/>
      <c r="J192" s="1"/>
      <c r="K192" s="1"/>
    </row>
    <row r="193" spans="2:11">
      <c r="B193" s="1" t="s">
        <v>1052</v>
      </c>
      <c r="C193" s="1"/>
      <c r="D193" s="165"/>
      <c r="E193" s="1"/>
      <c r="F193" s="1"/>
      <c r="G193" s="1"/>
      <c r="H193" s="1"/>
      <c r="I193" s="1"/>
      <c r="J193" s="1"/>
      <c r="K193" s="1"/>
    </row>
    <row r="194" spans="2:11">
      <c r="B194" s="1"/>
      <c r="C194" s="1"/>
      <c r="D194" s="1"/>
      <c r="E194" s="1"/>
      <c r="F194" s="1"/>
      <c r="G194" s="1"/>
      <c r="H194" s="1"/>
      <c r="I194" s="1"/>
      <c r="J194" s="1"/>
      <c r="K194" s="1"/>
    </row>
    <row r="195" spans="2:11">
      <c r="B195" s="1"/>
      <c r="C195" s="1"/>
      <c r="D195" s="165" t="s">
        <v>1041</v>
      </c>
      <c r="E195" s="326">
        <v>1</v>
      </c>
      <c r="F195" s="1"/>
      <c r="G195" s="1"/>
      <c r="H195" s="1"/>
      <c r="I195" s="1"/>
      <c r="J195" s="1"/>
      <c r="K195" s="1"/>
    </row>
    <row r="196" spans="2:11">
      <c r="B196" s="1"/>
      <c r="C196" s="1"/>
      <c r="D196" s="165" t="s">
        <v>1046</v>
      </c>
      <c r="E196" s="326">
        <v>1.1499999999999999</v>
      </c>
      <c r="F196" s="1"/>
      <c r="G196" s="1"/>
      <c r="H196" s="1"/>
      <c r="I196" s="1"/>
      <c r="J196" s="1"/>
      <c r="K196" s="1"/>
    </row>
    <row r="197" spans="2:11">
      <c r="B197" s="1"/>
      <c r="C197" s="1"/>
      <c r="D197" s="165" t="s">
        <v>1050</v>
      </c>
      <c r="E197" s="326">
        <v>1.25</v>
      </c>
      <c r="F197" s="1"/>
      <c r="G197" s="1"/>
      <c r="H197" s="1"/>
      <c r="I197" s="1"/>
      <c r="J197" s="1"/>
      <c r="K197" s="1"/>
    </row>
    <row r="198" spans="2:11">
      <c r="B198" s="1"/>
      <c r="C198" s="1"/>
      <c r="D198" s="165" t="s">
        <v>1053</v>
      </c>
      <c r="E198" s="326">
        <v>1.4</v>
      </c>
      <c r="F198" s="1"/>
      <c r="G198" s="1"/>
      <c r="H198" s="1"/>
      <c r="I198" s="1"/>
      <c r="J198" s="1"/>
      <c r="K198" s="1"/>
    </row>
    <row r="199" spans="2:11">
      <c r="B199" s="1"/>
      <c r="C199" s="1"/>
      <c r="D199" s="165" t="s">
        <v>1042</v>
      </c>
      <c r="E199" s="326">
        <v>1.5</v>
      </c>
      <c r="F199" s="1"/>
      <c r="G199" s="1"/>
      <c r="H199" s="1"/>
      <c r="I199" s="1"/>
      <c r="J199" s="1"/>
      <c r="K199" s="1"/>
    </row>
    <row r="200" spans="2:11">
      <c r="B200" s="1"/>
      <c r="C200" s="1"/>
      <c r="D200" s="1"/>
      <c r="E200" s="1"/>
      <c r="F200" s="1"/>
      <c r="G200" s="1"/>
      <c r="H200" s="1"/>
      <c r="I200" s="1"/>
      <c r="J200" s="1"/>
      <c r="K200" s="1"/>
    </row>
    <row r="201" spans="2:11">
      <c r="B201" s="1"/>
      <c r="C201" s="1"/>
      <c r="D201" s="165"/>
      <c r="E201" s="1"/>
      <c r="F201" s="1"/>
      <c r="G201" s="1"/>
      <c r="H201" s="1"/>
      <c r="I201" s="1"/>
      <c r="J201" s="1"/>
      <c r="K201" s="1"/>
    </row>
    <row r="202" spans="2:11">
      <c r="B202" s="1"/>
      <c r="C202" s="1"/>
      <c r="D202" s="165" t="s">
        <v>1047</v>
      </c>
      <c r="E202" s="381">
        <f>((E195-E196)/(E195+E196))^2</f>
        <v>4.8674959437533744E-3</v>
      </c>
      <c r="F202" s="1"/>
      <c r="G202" s="1"/>
      <c r="H202" s="1"/>
      <c r="I202" s="1"/>
      <c r="J202" s="1"/>
      <c r="K202" s="1"/>
    </row>
    <row r="203" spans="2:11">
      <c r="B203" s="1"/>
      <c r="C203" s="1"/>
      <c r="D203" s="165" t="s">
        <v>1048</v>
      </c>
      <c r="E203" s="381">
        <f>((E196-E197)/(E196+E197))^2</f>
        <v>1.7361111111111145E-3</v>
      </c>
      <c r="F203" s="1"/>
      <c r="G203" s="1"/>
      <c r="H203" s="1"/>
      <c r="I203" s="1"/>
      <c r="J203" s="1"/>
      <c r="K203" s="1"/>
    </row>
    <row r="204" spans="2:11">
      <c r="B204" s="1"/>
      <c r="C204" s="1"/>
      <c r="D204" s="165" t="s">
        <v>1051</v>
      </c>
      <c r="E204" s="381">
        <f>((E197-E198)/(E197+E198))^2</f>
        <v>3.2039871840512601E-3</v>
      </c>
      <c r="F204" s="1"/>
      <c r="G204" s="1"/>
      <c r="H204" s="1"/>
      <c r="I204" s="1"/>
      <c r="J204" s="1"/>
      <c r="K204" s="1"/>
    </row>
    <row r="205" spans="2:11">
      <c r="B205" s="1"/>
      <c r="C205" s="1"/>
      <c r="D205" s="165" t="s">
        <v>1054</v>
      </c>
      <c r="E205" s="381">
        <f>((E198-E199)/(E198+E199))^2</f>
        <v>1.189060642092749E-3</v>
      </c>
      <c r="F205" s="1"/>
      <c r="G205" s="1"/>
      <c r="H205" s="1"/>
      <c r="I205" s="1"/>
      <c r="J205" s="1"/>
      <c r="K205" s="1"/>
    </row>
    <row r="206" spans="2:11">
      <c r="B206" s="1"/>
      <c r="C206" s="1"/>
      <c r="D206" s="1"/>
      <c r="E206" s="1"/>
      <c r="F206" s="1"/>
      <c r="G206" s="1"/>
      <c r="H206" s="1"/>
      <c r="I206" s="1"/>
      <c r="J206" s="1"/>
      <c r="K206" s="1"/>
    </row>
    <row r="207" spans="2:11">
      <c r="B207" s="1"/>
      <c r="C207" s="1"/>
      <c r="D207" s="165" t="s">
        <v>1043</v>
      </c>
      <c r="E207" s="381">
        <f>SUM(E202:E205)</f>
        <v>1.0996654881008499E-2</v>
      </c>
      <c r="F207" s="1"/>
      <c r="G207" s="1"/>
      <c r="H207" s="1"/>
      <c r="I207" s="1"/>
      <c r="J207" s="1"/>
      <c r="K207" s="1"/>
    </row>
    <row r="217" spans="2:4">
      <c r="B217" s="26" t="s">
        <v>1055</v>
      </c>
      <c r="C217" s="2" t="s">
        <v>1056</v>
      </c>
      <c r="D217" s="1"/>
    </row>
    <row r="218" spans="2:4">
      <c r="B218" s="1"/>
      <c r="C218" s="2" t="s">
        <v>1057</v>
      </c>
      <c r="D218" s="1"/>
    </row>
    <row r="219" spans="2:4">
      <c r="B219" s="1"/>
      <c r="C219" s="2" t="s">
        <v>1058</v>
      </c>
      <c r="D219" s="1"/>
    </row>
    <row r="220" spans="2:4">
      <c r="B220" s="1"/>
      <c r="C220" s="2"/>
      <c r="D220" s="1"/>
    </row>
    <row r="221" spans="2:4">
      <c r="B221" s="1"/>
      <c r="C221" s="2" t="s">
        <v>1059</v>
      </c>
      <c r="D221" s="1"/>
    </row>
    <row r="222" spans="2:4">
      <c r="B222" s="1"/>
      <c r="C222" s="1"/>
      <c r="D222" s="1"/>
    </row>
    <row r="223" spans="2:4">
      <c r="B223" s="1"/>
      <c r="C223" s="1"/>
      <c r="D223" s="1"/>
    </row>
    <row r="224" spans="2:4">
      <c r="B224" s="1"/>
      <c r="C224" s="165" t="s">
        <v>74</v>
      </c>
      <c r="D224" s="408">
        <v>1</v>
      </c>
    </row>
    <row r="225" spans="2:5">
      <c r="B225" s="1"/>
      <c r="C225" s="165" t="s">
        <v>1060</v>
      </c>
      <c r="D225" s="408">
        <v>0.04</v>
      </c>
      <c r="E225" s="414" t="s">
        <v>1160</v>
      </c>
    </row>
    <row r="226" spans="2:5">
      <c r="B226" s="1"/>
      <c r="C226" s="165"/>
      <c r="D226" s="409"/>
    </row>
    <row r="227" spans="2:5">
      <c r="B227" s="1"/>
      <c r="C227" s="165" t="s">
        <v>1061</v>
      </c>
      <c r="D227" s="381">
        <f>D224*D225</f>
        <v>0.04</v>
      </c>
    </row>
    <row r="228" spans="2:5">
      <c r="B228" s="1"/>
      <c r="C228" s="165" t="s">
        <v>1062</v>
      </c>
      <c r="D228" s="381">
        <f>D224-D225</f>
        <v>0.96</v>
      </c>
    </row>
    <row r="229" spans="2:5">
      <c r="B229" s="1"/>
      <c r="C229" s="165"/>
      <c r="D229" s="409"/>
    </row>
    <row r="230" spans="2:5">
      <c r="B230" s="1"/>
      <c r="C230" s="165"/>
      <c r="D230" s="409"/>
    </row>
    <row r="231" spans="2:5">
      <c r="B231" s="1"/>
      <c r="C231" s="165" t="s">
        <v>1063</v>
      </c>
      <c r="D231" s="381">
        <f>D228*D225</f>
        <v>3.8399999999999997E-2</v>
      </c>
    </row>
    <row r="232" spans="2:5">
      <c r="B232" s="1"/>
      <c r="C232" s="165" t="s">
        <v>1064</v>
      </c>
      <c r="D232" s="381">
        <f>D228-D231</f>
        <v>0.92159999999999997</v>
      </c>
    </row>
    <row r="233" spans="2:5">
      <c r="B233" s="1"/>
      <c r="C233" s="226"/>
      <c r="D233" s="410"/>
    </row>
    <row r="234" spans="2:5">
      <c r="B234" s="1"/>
      <c r="C234" s="165"/>
      <c r="D234" s="381"/>
    </row>
    <row r="235" spans="2:5">
      <c r="B235" s="1"/>
      <c r="C235" s="165" t="s">
        <v>1065</v>
      </c>
      <c r="D235" s="381">
        <f>D232*D$225</f>
        <v>3.6864000000000001E-2</v>
      </c>
    </row>
    <row r="236" spans="2:5">
      <c r="B236" s="1"/>
      <c r="C236" s="165" t="s">
        <v>1066</v>
      </c>
      <c r="D236" s="381">
        <f>D232-D235</f>
        <v>0.88473599999999997</v>
      </c>
    </row>
    <row r="237" spans="2:5">
      <c r="B237" s="1"/>
      <c r="C237" s="165"/>
      <c r="D237" s="381"/>
    </row>
    <row r="238" spans="2:5">
      <c r="B238" s="1"/>
      <c r="C238" s="165"/>
      <c r="D238" s="381"/>
    </row>
    <row r="239" spans="2:5">
      <c r="B239" s="1"/>
      <c r="C239" s="165" t="s">
        <v>1067</v>
      </c>
      <c r="D239" s="381">
        <f>D236*D$225</f>
        <v>3.5389440000000001E-2</v>
      </c>
    </row>
    <row r="240" spans="2:5">
      <c r="B240" s="1"/>
      <c r="C240" s="165" t="s">
        <v>1068</v>
      </c>
      <c r="D240" s="381">
        <f>D236-D239</f>
        <v>0.84934655999999997</v>
      </c>
    </row>
    <row r="241" spans="2:4">
      <c r="B241" s="1"/>
      <c r="C241" s="226"/>
      <c r="D241" s="410"/>
    </row>
    <row r="242" spans="2:4">
      <c r="B242" s="1"/>
      <c r="C242" s="165"/>
      <c r="D242" s="381"/>
    </row>
    <row r="243" spans="2:4">
      <c r="B243" s="1"/>
      <c r="C243" s="165" t="s">
        <v>1069</v>
      </c>
      <c r="D243" s="381">
        <f>D240*D$225</f>
        <v>3.3973862399999999E-2</v>
      </c>
    </row>
    <row r="244" spans="2:4">
      <c r="B244" s="1"/>
      <c r="C244" s="165" t="s">
        <v>1070</v>
      </c>
      <c r="D244" s="381">
        <f>D240-D243</f>
        <v>0.81537269759999997</v>
      </c>
    </row>
    <row r="245" spans="2:4">
      <c r="B245" s="1"/>
      <c r="C245" s="165"/>
      <c r="D245" s="32"/>
    </row>
    <row r="246" spans="2:4">
      <c r="B246" s="1"/>
      <c r="C246" s="165"/>
      <c r="D246" s="1"/>
    </row>
    <row r="247" spans="2:4">
      <c r="B247" s="1"/>
      <c r="C247" s="165" t="s">
        <v>1071</v>
      </c>
      <c r="D247" s="381">
        <f>D244*D$225</f>
        <v>3.2614907903999998E-2</v>
      </c>
    </row>
    <row r="248" spans="2:4">
      <c r="B248" s="1"/>
      <c r="C248" s="165" t="s">
        <v>1072</v>
      </c>
      <c r="D248" s="381">
        <f>D244-D247</f>
        <v>0.78275778969599996</v>
      </c>
    </row>
    <row r="249" spans="2:4">
      <c r="B249" s="1"/>
      <c r="C249" s="226"/>
      <c r="D249" s="410"/>
    </row>
    <row r="250" spans="2:4">
      <c r="B250" s="1"/>
      <c r="C250" s="165"/>
      <c r="D250" s="1"/>
    </row>
    <row r="251" spans="2:4">
      <c r="B251" s="1"/>
      <c r="C251" s="165" t="s">
        <v>1073</v>
      </c>
      <c r="D251" s="381">
        <f>D248*D$225</f>
        <v>3.1310311587839999E-2</v>
      </c>
    </row>
    <row r="252" spans="2:4">
      <c r="B252" s="1"/>
      <c r="C252" s="165" t="s">
        <v>1074</v>
      </c>
      <c r="D252" s="381">
        <f>D248-D251</f>
        <v>0.75144747810815993</v>
      </c>
    </row>
    <row r="253" spans="2:4">
      <c r="B253" s="1"/>
      <c r="C253" s="165"/>
      <c r="D253" s="1"/>
    </row>
    <row r="254" spans="2:4">
      <c r="B254" s="1"/>
      <c r="C254" s="165"/>
      <c r="D254" s="1"/>
    </row>
    <row r="255" spans="2:4">
      <c r="B255" s="1"/>
      <c r="C255" s="165" t="s">
        <v>1075</v>
      </c>
      <c r="D255" s="381">
        <f>D252*D$225</f>
        <v>3.0057899124326399E-2</v>
      </c>
    </row>
    <row r="256" spans="2:4">
      <c r="B256" s="1"/>
      <c r="C256" s="165" t="s">
        <v>1076</v>
      </c>
      <c r="D256" s="381">
        <f>D252-D255</f>
        <v>0.72138957898383349</v>
      </c>
    </row>
    <row r="257" spans="2:4">
      <c r="B257" s="1"/>
      <c r="C257" s="226"/>
      <c r="D257" s="1"/>
    </row>
    <row r="258" spans="2:4">
      <c r="B258" s="1"/>
      <c r="C258" s="165"/>
      <c r="D258" s="1"/>
    </row>
    <row r="259" spans="2:4">
      <c r="B259" s="1"/>
      <c r="C259" s="165" t="s">
        <v>1077</v>
      </c>
      <c r="D259" s="381">
        <f>D256*D$225</f>
        <v>2.885558315935334E-2</v>
      </c>
    </row>
    <row r="260" spans="2:4">
      <c r="B260" s="1"/>
      <c r="C260" s="165" t="s">
        <v>1078</v>
      </c>
      <c r="D260" s="381">
        <f>D256-D259</f>
        <v>0.69253399582448016</v>
      </c>
    </row>
    <row r="261" spans="2:4">
      <c r="B261" s="1"/>
      <c r="C261" s="165"/>
      <c r="D261" s="1"/>
    </row>
    <row r="262" spans="2:4">
      <c r="B262" s="1"/>
      <c r="C262" s="165"/>
      <c r="D262" s="1"/>
    </row>
    <row r="263" spans="2:4">
      <c r="B263" s="1"/>
      <c r="C263" s="165" t="s">
        <v>1079</v>
      </c>
      <c r="D263" s="381">
        <f>D260*D$225</f>
        <v>2.7701359832979208E-2</v>
      </c>
    </row>
    <row r="264" spans="2:4">
      <c r="B264" s="1"/>
      <c r="C264" s="165" t="s">
        <v>1080</v>
      </c>
      <c r="D264" s="381">
        <f>D260-D263</f>
        <v>0.664832635991501</v>
      </c>
    </row>
    <row r="265" spans="2:4">
      <c r="B265" s="1"/>
      <c r="C265" s="226"/>
      <c r="D265" s="1"/>
    </row>
    <row r="266" spans="2:4">
      <c r="B266" s="1"/>
      <c r="C266" s="165"/>
      <c r="D266" s="1"/>
    </row>
    <row r="267" spans="2:4">
      <c r="B267" s="1"/>
      <c r="C267" s="165" t="s">
        <v>1081</v>
      </c>
      <c r="D267" s="381">
        <f>D264*D$225</f>
        <v>2.6593305439660042E-2</v>
      </c>
    </row>
    <row r="268" spans="2:4">
      <c r="B268" s="1"/>
      <c r="C268" s="165" t="s">
        <v>1082</v>
      </c>
      <c r="D268" s="381">
        <f>D264-D267</f>
        <v>0.63823933055184101</v>
      </c>
    </row>
    <row r="269" spans="2:4">
      <c r="B269" s="1"/>
      <c r="C269" s="165"/>
      <c r="D269" s="1"/>
    </row>
    <row r="270" spans="2:4">
      <c r="B270" s="1"/>
      <c r="C270" s="165"/>
      <c r="D270" s="1"/>
    </row>
    <row r="271" spans="2:4">
      <c r="B271" s="1"/>
      <c r="C271" s="165" t="s">
        <v>1083</v>
      </c>
      <c r="D271" s="381">
        <f>D268*D$225</f>
        <v>2.5529573222073641E-2</v>
      </c>
    </row>
    <row r="272" spans="2:4">
      <c r="B272" s="1"/>
      <c r="C272" s="165" t="s">
        <v>1084</v>
      </c>
      <c r="D272" s="381">
        <f>D268-D271</f>
        <v>0.6127097573297674</v>
      </c>
    </row>
    <row r="273" spans="2:4">
      <c r="B273" s="1"/>
      <c r="C273" s="226"/>
      <c r="D273" s="1"/>
    </row>
    <row r="274" spans="2:4">
      <c r="B274" s="1"/>
      <c r="C274" s="165"/>
      <c r="D274" s="1"/>
    </row>
    <row r="275" spans="2:4">
      <c r="B275" s="1"/>
      <c r="C275" s="165" t="s">
        <v>1085</v>
      </c>
      <c r="D275" s="381">
        <f>D272*D$225</f>
        <v>2.4508390293190695E-2</v>
      </c>
    </row>
    <row r="276" spans="2:4">
      <c r="B276" s="1"/>
      <c r="C276" s="165" t="s">
        <v>1086</v>
      </c>
      <c r="D276" s="381">
        <f>D272-D275</f>
        <v>0.58820136703657666</v>
      </c>
    </row>
    <row r="277" spans="2:4">
      <c r="B277" s="1"/>
      <c r="C277" s="165"/>
      <c r="D277" s="1"/>
    </row>
    <row r="278" spans="2:4">
      <c r="B278" s="1"/>
      <c r="C278" s="165"/>
      <c r="D278" s="1"/>
    </row>
    <row r="279" spans="2:4">
      <c r="B279" s="1"/>
      <c r="C279" s="165" t="s">
        <v>1087</v>
      </c>
      <c r="D279" s="381">
        <f>D276*D$225</f>
        <v>2.3528054681463066E-2</v>
      </c>
    </row>
    <row r="280" spans="2:4">
      <c r="B280" s="1"/>
      <c r="C280" s="165" t="s">
        <v>1088</v>
      </c>
      <c r="D280" s="381">
        <f>D276-D279</f>
        <v>0.56467331235511364</v>
      </c>
    </row>
    <row r="281" spans="2:4">
      <c r="B281" s="1"/>
      <c r="C281" s="226"/>
      <c r="D281" s="1"/>
    </row>
    <row r="282" spans="2:4">
      <c r="B282" s="1"/>
      <c r="C282" s="165"/>
      <c r="D282" s="1"/>
    </row>
    <row r="283" spans="2:4">
      <c r="B283" s="1"/>
      <c r="C283" s="165" t="s">
        <v>1089</v>
      </c>
      <c r="D283" s="381">
        <f>D280*D$225</f>
        <v>2.2586932494204546E-2</v>
      </c>
    </row>
    <row r="284" spans="2:4">
      <c r="B284" s="1"/>
      <c r="C284" s="165" t="s">
        <v>1090</v>
      </c>
      <c r="D284" s="381">
        <f>D280-D283</f>
        <v>0.54208637986090913</v>
      </c>
    </row>
    <row r="285" spans="2:4">
      <c r="B285" s="1"/>
      <c r="C285" s="165"/>
      <c r="D285" s="1"/>
    </row>
    <row r="286" spans="2:4">
      <c r="B286" s="1"/>
      <c r="C286" s="165"/>
      <c r="D286" s="1"/>
    </row>
    <row r="287" spans="2:4">
      <c r="B287" s="1"/>
      <c r="C287" s="165" t="s">
        <v>1091</v>
      </c>
      <c r="D287" s="381">
        <f>D284*D$225</f>
        <v>2.1683455194436367E-2</v>
      </c>
    </row>
    <row r="288" spans="2:4">
      <c r="B288" s="1"/>
      <c r="C288" s="165" t="s">
        <v>1092</v>
      </c>
      <c r="D288" s="381">
        <f>D284-D287</f>
        <v>0.52040292466647275</v>
      </c>
    </row>
    <row r="289" spans="2:9">
      <c r="B289" s="1"/>
      <c r="C289" s="226"/>
      <c r="D289" s="1"/>
    </row>
    <row r="290" spans="2:9">
      <c r="B290" s="1"/>
      <c r="C290" s="165"/>
      <c r="D290" s="1"/>
    </row>
    <row r="291" spans="2:9">
      <c r="B291" s="1"/>
      <c r="C291" s="165" t="s">
        <v>1093</v>
      </c>
      <c r="D291" s="381">
        <f>D288*D$225</f>
        <v>2.081611698665891E-2</v>
      </c>
    </row>
    <row r="292" spans="2:9">
      <c r="B292" s="1"/>
      <c r="C292" s="165" t="s">
        <v>1094</v>
      </c>
      <c r="D292" s="381">
        <f>D288-D291</f>
        <v>0.49958680767981384</v>
      </c>
    </row>
    <row r="296" spans="2:9">
      <c r="H296" s="1"/>
      <c r="I296" s="1"/>
    </row>
    <row r="298" spans="2:9">
      <c r="B298" s="47"/>
    </row>
    <row r="299" spans="2:9">
      <c r="B299" s="404" t="s">
        <v>1188</v>
      </c>
    </row>
    <row r="300" spans="2:9">
      <c r="B300" s="47"/>
    </row>
    <row r="301" spans="2:9">
      <c r="B301" s="414" t="s">
        <v>1200</v>
      </c>
    </row>
    <row r="302" spans="2:9">
      <c r="B302" s="414" t="s">
        <v>1201</v>
      </c>
    </row>
    <row r="303" spans="2:9">
      <c r="B303" s="414" t="s">
        <v>1202</v>
      </c>
    </row>
    <row r="304" spans="2:9">
      <c r="B304" s="414" t="s">
        <v>1203</v>
      </c>
    </row>
    <row r="305" spans="2:10">
      <c r="B305" s="47"/>
    </row>
    <row r="306" spans="2:10">
      <c r="B306" s="1"/>
      <c r="C306" s="2" t="s">
        <v>1204</v>
      </c>
      <c r="D306" s="1"/>
      <c r="E306" s="1"/>
      <c r="F306" s="1"/>
      <c r="G306" s="1"/>
      <c r="H306" s="1"/>
      <c r="I306" s="1"/>
      <c r="J306" s="1"/>
    </row>
    <row r="307" spans="2:10">
      <c r="B307" s="1"/>
      <c r="C307" s="1"/>
      <c r="D307" s="1"/>
      <c r="E307" s="1"/>
      <c r="F307" s="1"/>
      <c r="G307" s="1"/>
      <c r="H307" s="1"/>
      <c r="I307" s="1"/>
      <c r="J307" s="1"/>
    </row>
    <row r="308" spans="2:10">
      <c r="B308" s="1"/>
      <c r="C308" s="1" t="s">
        <v>1161</v>
      </c>
      <c r="D308" s="1"/>
      <c r="E308" s="1"/>
      <c r="F308" s="1"/>
      <c r="G308" s="1"/>
      <c r="H308" s="450"/>
      <c r="I308" s="1"/>
      <c r="J308" s="1"/>
    </row>
    <row r="309" spans="2:10">
      <c r="B309" s="1"/>
      <c r="C309" s="1" t="s">
        <v>1162</v>
      </c>
      <c r="D309" s="1"/>
      <c r="E309" s="1"/>
      <c r="F309" s="1"/>
      <c r="G309" s="1"/>
      <c r="H309" s="1"/>
      <c r="I309" s="1"/>
      <c r="J309" s="1"/>
    </row>
    <row r="310" spans="2:10">
      <c r="B310" s="1"/>
      <c r="C310" s="1"/>
      <c r="D310" s="1"/>
      <c r="E310" s="1"/>
      <c r="F310" s="1"/>
      <c r="G310" s="1"/>
      <c r="H310" s="8"/>
      <c r="I310" s="8"/>
      <c r="J310" s="1"/>
    </row>
    <row r="311" spans="2:10">
      <c r="B311" s="1"/>
      <c r="C311" s="165" t="s">
        <v>1163</v>
      </c>
      <c r="D311" s="451">
        <v>0.1</v>
      </c>
      <c r="E311" s="1"/>
      <c r="F311" s="450"/>
      <c r="G311" s="1"/>
      <c r="H311" s="1"/>
      <c r="I311" s="1"/>
      <c r="J311" s="1"/>
    </row>
    <row r="312" spans="2:10">
      <c r="B312" s="1"/>
      <c r="C312" s="165" t="s">
        <v>525</v>
      </c>
      <c r="D312" s="452">
        <v>8000</v>
      </c>
      <c r="E312" s="1"/>
      <c r="F312" s="1"/>
      <c r="G312" s="1"/>
      <c r="H312" s="1"/>
      <c r="I312" s="1"/>
      <c r="J312" s="1"/>
    </row>
    <row r="313" spans="2:10">
      <c r="B313" s="1"/>
      <c r="C313" s="165" t="s">
        <v>1164</v>
      </c>
      <c r="D313" s="453">
        <f>D312+D312*D311</f>
        <v>8800</v>
      </c>
      <c r="E313" s="1"/>
      <c r="F313" s="1"/>
      <c r="G313" s="1"/>
      <c r="H313" s="1"/>
      <c r="I313" s="1"/>
      <c r="J313" s="1"/>
    </row>
    <row r="314" spans="2:10">
      <c r="B314" s="1"/>
      <c r="C314" s="165" t="s">
        <v>1165</v>
      </c>
      <c r="D314" s="453">
        <f>D313+D313*D311</f>
        <v>9680</v>
      </c>
      <c r="E314" s="1"/>
      <c r="F314" s="1"/>
      <c r="G314" s="1"/>
      <c r="H314" s="1"/>
      <c r="I314" s="1"/>
      <c r="J314" s="1"/>
    </row>
    <row r="315" spans="2:10">
      <c r="B315" s="1"/>
      <c r="C315" s="165" t="s">
        <v>1166</v>
      </c>
      <c r="D315" s="453">
        <f>D314+D314*D311</f>
        <v>10648</v>
      </c>
      <c r="E315" s="1"/>
      <c r="G315" s="1"/>
      <c r="H315" s="1"/>
      <c r="I315" s="1"/>
      <c r="J315" s="1"/>
    </row>
    <row r="316" spans="2:10">
      <c r="B316" s="1"/>
      <c r="C316" s="165" t="s">
        <v>1167</v>
      </c>
      <c r="D316" s="453">
        <f>D315+D315*D311</f>
        <v>11712.8</v>
      </c>
      <c r="E316" s="1"/>
      <c r="G316" s="1"/>
      <c r="H316" s="1"/>
      <c r="I316" s="1"/>
      <c r="J316" s="1"/>
    </row>
    <row r="317" spans="2:10">
      <c r="B317" s="1"/>
      <c r="C317" s="165" t="s">
        <v>1168</v>
      </c>
      <c r="D317" s="453">
        <f>D316+D316*D311</f>
        <v>12884.08</v>
      </c>
      <c r="E317" s="1"/>
      <c r="F317" s="1"/>
      <c r="G317" s="1"/>
      <c r="H317" s="1"/>
      <c r="I317" s="1"/>
      <c r="J317" s="1"/>
    </row>
    <row r="318" spans="2:10">
      <c r="B318" s="1"/>
      <c r="C318" s="165" t="s">
        <v>1169</v>
      </c>
      <c r="D318" s="453">
        <f>D317+D317*D311</f>
        <v>14172.487999999999</v>
      </c>
      <c r="E318" s="1"/>
      <c r="F318" s="1"/>
      <c r="G318" s="1"/>
      <c r="H318" s="454"/>
      <c r="I318" s="1"/>
      <c r="J318" s="1"/>
    </row>
    <row r="319" spans="2:10">
      <c r="B319" s="1"/>
      <c r="C319" s="165" t="s">
        <v>1170</v>
      </c>
      <c r="D319" s="453">
        <f>D318+D318*D311</f>
        <v>15589.736799999999</v>
      </c>
      <c r="E319" s="1"/>
      <c r="F319" s="1"/>
      <c r="G319" s="1"/>
      <c r="H319" s="454"/>
      <c r="I319" s="1"/>
      <c r="J319" s="1"/>
    </row>
    <row r="320" spans="2:10">
      <c r="B320" s="1"/>
      <c r="C320" s="165" t="s">
        <v>1171</v>
      </c>
      <c r="D320" s="453">
        <f>D319+D319*D311</f>
        <v>17148.710479999998</v>
      </c>
      <c r="E320" s="1"/>
      <c r="F320" s="1"/>
      <c r="G320" s="1"/>
      <c r="H320" s="454"/>
      <c r="I320" s="1"/>
      <c r="J320" s="1"/>
    </row>
    <row r="321" spans="2:10">
      <c r="B321" s="1"/>
      <c r="C321" s="165" t="s">
        <v>1172</v>
      </c>
      <c r="D321" s="453">
        <f>D320+D320*D311</f>
        <v>18863.581527999999</v>
      </c>
      <c r="E321" s="1"/>
      <c r="F321" s="1"/>
      <c r="G321" s="1"/>
      <c r="H321" s="1"/>
      <c r="I321" s="1"/>
      <c r="J321" s="1"/>
    </row>
    <row r="322" spans="2:10">
      <c r="B322" s="1"/>
      <c r="C322" s="165" t="s">
        <v>1173</v>
      </c>
      <c r="D322" s="453">
        <f>D321+D321*D311</f>
        <v>20749.939680799998</v>
      </c>
      <c r="E322" s="1"/>
      <c r="F322" s="1"/>
      <c r="G322" s="1"/>
      <c r="H322" s="1"/>
      <c r="I322" s="1"/>
      <c r="J322" s="1"/>
    </row>
    <row r="323" spans="2:10">
      <c r="B323" s="1"/>
      <c r="C323" s="165"/>
      <c r="D323" s="1"/>
      <c r="E323" s="1"/>
      <c r="F323" s="1"/>
      <c r="G323" s="1"/>
      <c r="H323" s="1"/>
      <c r="I323" s="1"/>
      <c r="J323" s="1"/>
    </row>
    <row r="324" spans="2:10">
      <c r="B324" s="1"/>
      <c r="C324" s="1" t="str">
        <f>"Am Ende des 10. Jahres erhält man "&amp;ROUND(D322,2)&amp;" €."</f>
        <v>Am Ende des 10. Jahres erhält man 20749,94 €.</v>
      </c>
      <c r="D324" s="1"/>
      <c r="E324" s="1"/>
      <c r="F324" s="463" t="s">
        <v>1174</v>
      </c>
      <c r="G324" s="464">
        <f>D312*(1+D311)^10</f>
        <v>20749.939680800017</v>
      </c>
      <c r="H324" s="1"/>
      <c r="I324" s="1"/>
      <c r="J324" s="1"/>
    </row>
    <row r="325" spans="2:10">
      <c r="B325" s="1"/>
      <c r="C325" s="1"/>
      <c r="D325" s="1"/>
      <c r="E325" s="1"/>
      <c r="F325" s="463"/>
      <c r="G325" s="464"/>
      <c r="H325" s="1"/>
      <c r="I325" s="1"/>
      <c r="J325" s="1"/>
    </row>
    <row r="326" spans="2:10">
      <c r="B326" s="1"/>
      <c r="C326" s="1"/>
      <c r="D326" s="1"/>
      <c r="E326" s="1"/>
      <c r="F326" s="485" t="s">
        <v>1205</v>
      </c>
      <c r="G326" s="464"/>
      <c r="H326" s="1"/>
      <c r="I326" s="1"/>
      <c r="J326" s="1"/>
    </row>
    <row r="327" spans="2:10">
      <c r="B327" s="1"/>
      <c r="C327" s="1"/>
      <c r="D327" s="1"/>
      <c r="E327" s="1"/>
      <c r="G327" s="464"/>
      <c r="H327" s="1"/>
      <c r="I327" s="1"/>
      <c r="J327" s="1"/>
    </row>
    <row r="328" spans="2:10">
      <c r="B328" s="8"/>
      <c r="C328" s="8"/>
      <c r="D328" s="8"/>
      <c r="E328" s="8"/>
      <c r="F328" s="491" t="s">
        <v>1198</v>
      </c>
      <c r="G328" s="8"/>
      <c r="H328" s="8"/>
      <c r="I328" s="8"/>
      <c r="J328" s="8"/>
    </row>
    <row r="329" spans="2:10">
      <c r="B329" s="8"/>
      <c r="C329" s="8"/>
      <c r="D329" s="8"/>
      <c r="E329" s="8"/>
      <c r="F329" s="491" t="s">
        <v>3754</v>
      </c>
      <c r="G329" s="8"/>
      <c r="H329" s="8"/>
      <c r="I329" s="8"/>
      <c r="J329" s="8"/>
    </row>
    <row r="330" spans="2:10">
      <c r="B330" s="8"/>
      <c r="C330" s="8"/>
      <c r="D330" s="8"/>
      <c r="E330" s="8"/>
      <c r="G330" s="8"/>
      <c r="H330" s="8"/>
      <c r="I330" s="8"/>
      <c r="J330" s="8"/>
    </row>
    <row r="331" spans="2:10">
      <c r="B331" s="1"/>
      <c r="C331" s="2" t="s">
        <v>1204</v>
      </c>
      <c r="D331" s="1"/>
      <c r="E331" s="1"/>
      <c r="F331" s="1"/>
      <c r="G331" s="1"/>
      <c r="H331" s="1"/>
      <c r="I331" s="1"/>
      <c r="J331" s="1"/>
    </row>
    <row r="332" spans="2:10">
      <c r="B332" s="1"/>
      <c r="C332" s="1"/>
      <c r="D332" s="1"/>
      <c r="E332" s="1"/>
      <c r="F332" s="1"/>
      <c r="G332" s="1"/>
      <c r="H332" s="1"/>
      <c r="I332" s="1"/>
      <c r="J332" s="1"/>
    </row>
    <row r="333" spans="2:10">
      <c r="B333" s="26" t="s">
        <v>1197</v>
      </c>
      <c r="C333" s="1" t="s">
        <v>1175</v>
      </c>
      <c r="D333" s="465">
        <v>1.1000000000000001</v>
      </c>
      <c r="E333" s="1"/>
      <c r="G333" s="1"/>
      <c r="H333" s="1"/>
      <c r="I333" s="1"/>
      <c r="J333" s="1"/>
    </row>
    <row r="334" spans="2:10">
      <c r="B334" s="1"/>
      <c r="C334" s="1" t="s">
        <v>1046</v>
      </c>
      <c r="D334" s="465">
        <v>1.2</v>
      </c>
      <c r="E334" s="1"/>
      <c r="G334" s="1"/>
      <c r="H334" s="1"/>
      <c r="I334" s="1"/>
      <c r="J334" s="1"/>
    </row>
    <row r="335" spans="2:10">
      <c r="B335" s="1"/>
      <c r="C335" s="1" t="s">
        <v>1050</v>
      </c>
      <c r="D335" s="465">
        <v>1.4</v>
      </c>
      <c r="E335" s="1"/>
    </row>
    <row r="336" spans="2:10">
      <c r="B336" s="1"/>
      <c r="C336" s="1" t="s">
        <v>1176</v>
      </c>
      <c r="D336" s="465">
        <v>1.65</v>
      </c>
      <c r="E336" s="1"/>
    </row>
    <row r="337" spans="2:6">
      <c r="B337" s="1"/>
      <c r="C337" s="1"/>
      <c r="D337" s="1"/>
      <c r="E337" s="1"/>
    </row>
    <row r="338" spans="2:6">
      <c r="B338" s="1"/>
      <c r="C338" s="1" t="s">
        <v>1189</v>
      </c>
      <c r="D338" s="1"/>
      <c r="E338" s="1"/>
    </row>
    <row r="339" spans="2:6" ht="13.5" thickBot="1">
      <c r="B339" s="1"/>
      <c r="C339" s="1"/>
      <c r="D339" s="1"/>
      <c r="E339" s="1"/>
    </row>
    <row r="340" spans="2:6">
      <c r="B340" s="1"/>
      <c r="C340" s="455" t="s">
        <v>1177</v>
      </c>
      <c r="D340" s="456">
        <f>((D333-D334)/(D333+D334))^2</f>
        <v>1.890359168241961E-3</v>
      </c>
      <c r="E340" s="2" t="s">
        <v>1196</v>
      </c>
    </row>
    <row r="341" spans="2:6">
      <c r="B341" s="1"/>
      <c r="C341" s="457" t="s">
        <v>1178</v>
      </c>
      <c r="D341" s="458">
        <f>((D334-D335)/(D334+D335))^2</f>
        <v>5.9171597633136076E-3</v>
      </c>
      <c r="E341" s="1"/>
    </row>
    <row r="342" spans="2:6" ht="13.5" thickBot="1">
      <c r="B342" s="1"/>
      <c r="C342" s="459" t="s">
        <v>1179</v>
      </c>
      <c r="D342" s="460">
        <f>((D335-D336)/(D335+D336))^2</f>
        <v>6.7186240257995173E-3</v>
      </c>
      <c r="E342" s="461"/>
    </row>
    <row r="343" spans="2:6">
      <c r="B343" s="1"/>
      <c r="C343" s="1"/>
      <c r="D343" s="1"/>
      <c r="E343" s="1"/>
    </row>
    <row r="344" spans="2:6">
      <c r="B344" s="1"/>
      <c r="C344" s="234" t="s">
        <v>1180</v>
      </c>
      <c r="D344" s="462">
        <v>1</v>
      </c>
      <c r="E344" s="1"/>
    </row>
    <row r="345" spans="2:6">
      <c r="B345" s="475" t="s">
        <v>1181</v>
      </c>
      <c r="C345" s="476" t="s">
        <v>1182</v>
      </c>
      <c r="D345" s="477">
        <f>D344-D340*D344</f>
        <v>0.99810964083175802</v>
      </c>
      <c r="E345" s="1"/>
    </row>
    <row r="346" spans="2:6">
      <c r="B346" s="478" t="s">
        <v>1181</v>
      </c>
      <c r="C346" s="479" t="s">
        <v>1183</v>
      </c>
      <c r="D346" s="480">
        <f>D345-D341*D345</f>
        <v>0.99220366662565296</v>
      </c>
      <c r="E346" s="1"/>
    </row>
    <row r="347" spans="2:6">
      <c r="B347" s="478" t="s">
        <v>1181</v>
      </c>
      <c r="C347" s="481" t="s">
        <v>1184</v>
      </c>
      <c r="D347" s="482">
        <f>D346-D342*D346</f>
        <v>0.98553742323257543</v>
      </c>
      <c r="E347" s="488">
        <f>D344-D347</f>
        <v>1.4462576767424573E-2</v>
      </c>
      <c r="F347" s="1" t="s">
        <v>1190</v>
      </c>
    </row>
    <row r="348" spans="2:6">
      <c r="B348" s="478" t="s">
        <v>1181</v>
      </c>
      <c r="C348" s="479" t="s">
        <v>1185</v>
      </c>
      <c r="D348" s="480">
        <f>D347-D342*D347</f>
        <v>0.97891596782252055</v>
      </c>
      <c r="E348" s="1"/>
    </row>
    <row r="349" spans="2:6">
      <c r="B349" s="478" t="s">
        <v>1181</v>
      </c>
      <c r="C349" s="479" t="s">
        <v>1186</v>
      </c>
      <c r="D349" s="480">
        <f>D348-D341*D348</f>
        <v>0.97312356564605595</v>
      </c>
      <c r="E349" s="1"/>
      <c r="F349" s="486" t="s">
        <v>1192</v>
      </c>
    </row>
    <row r="350" spans="2:6">
      <c r="B350" s="483" t="s">
        <v>1181</v>
      </c>
      <c r="C350" s="481" t="s">
        <v>1187</v>
      </c>
      <c r="D350" s="482">
        <f>D349-D340*D349</f>
        <v>0.97128401259190467</v>
      </c>
      <c r="E350" s="484"/>
      <c r="F350" s="486" t="s">
        <v>1193</v>
      </c>
    </row>
    <row r="351" spans="2:6">
      <c r="B351" s="466" t="s">
        <v>1013</v>
      </c>
      <c r="C351" s="467" t="s">
        <v>1182</v>
      </c>
      <c r="D351" s="468">
        <f>D350-D340*D350</f>
        <v>0.96944793695373477</v>
      </c>
      <c r="F351" s="492" t="s">
        <v>1199</v>
      </c>
    </row>
    <row r="352" spans="2:6">
      <c r="B352" s="469" t="s">
        <v>1013</v>
      </c>
      <c r="C352" s="470" t="s">
        <v>1183</v>
      </c>
      <c r="D352" s="471">
        <f>D351-D341*D351</f>
        <v>0.96371155862856472</v>
      </c>
      <c r="F352" s="1"/>
    </row>
    <row r="353" spans="2:6">
      <c r="B353" s="469" t="s">
        <v>1013</v>
      </c>
      <c r="C353" s="472" t="s">
        <v>1184</v>
      </c>
      <c r="D353" s="473">
        <f>D352-D342*D352</f>
        <v>0.95723674299682215</v>
      </c>
      <c r="E353" s="484"/>
      <c r="F353" s="1"/>
    </row>
    <row r="354" spans="2:6">
      <c r="B354" s="469" t="s">
        <v>1013</v>
      </c>
      <c r="C354" s="470" t="s">
        <v>1185</v>
      </c>
      <c r="D354" s="471">
        <f>D353-D342*D353</f>
        <v>0.95080542921694566</v>
      </c>
      <c r="F354" s="1"/>
    </row>
    <row r="355" spans="2:6">
      <c r="B355" s="469" t="s">
        <v>1013</v>
      </c>
      <c r="C355" s="470" t="s">
        <v>1186</v>
      </c>
      <c r="D355" s="471">
        <f>D354-D341*D354</f>
        <v>0.94517936158844307</v>
      </c>
      <c r="F355" s="1"/>
    </row>
    <row r="356" spans="2:6">
      <c r="B356" s="474" t="s">
        <v>1013</v>
      </c>
      <c r="C356" s="472" t="s">
        <v>1187</v>
      </c>
      <c r="D356" s="473">
        <f>D355-D340*D355</f>
        <v>0.94339263311663124</v>
      </c>
      <c r="E356" s="489">
        <f>D344-D356</f>
        <v>5.6607366883368759E-2</v>
      </c>
      <c r="F356" s="414" t="s">
        <v>1191</v>
      </c>
    </row>
    <row r="357" spans="2:6">
      <c r="B357" s="1"/>
      <c r="C357" s="165"/>
      <c r="D357" s="1"/>
      <c r="E357" s="1"/>
    </row>
    <row r="358" spans="2:6">
      <c r="B358" s="1"/>
      <c r="C358" s="1"/>
      <c r="D358" s="1"/>
      <c r="E358" s="1"/>
    </row>
    <row r="359" spans="2:6">
      <c r="F359" s="463" t="s">
        <v>1174</v>
      </c>
    </row>
    <row r="360" spans="2:6">
      <c r="E360" s="487">
        <f>(D344-E347)^4</f>
        <v>0.94339263311663102</v>
      </c>
      <c r="F360" s="485" t="s">
        <v>1195</v>
      </c>
    </row>
    <row r="361" spans="2:6">
      <c r="E361" s="490">
        <f>1-E360</f>
        <v>5.6607366883368981E-2</v>
      </c>
      <c r="F361" s="414" t="s">
        <v>1194</v>
      </c>
    </row>
    <row r="362" spans="2:6">
      <c r="B362" s="47"/>
    </row>
    <row r="363" spans="2:6">
      <c r="B363" s="47"/>
    </row>
    <row r="364" spans="2:6">
      <c r="B364" s="47"/>
    </row>
    <row r="365" spans="2:6">
      <c r="B365" s="47"/>
    </row>
    <row r="366" spans="2:6">
      <c r="B366" s="47"/>
    </row>
    <row r="367" spans="2:6">
      <c r="B367" s="47"/>
    </row>
    <row r="368" spans="2:6">
      <c r="B368" s="47"/>
    </row>
    <row r="369" spans="2:5">
      <c r="B369" s="47"/>
    </row>
    <row r="370" spans="2:5">
      <c r="B370" s="47"/>
    </row>
    <row r="371" spans="2:5">
      <c r="B371" s="415" t="s">
        <v>1107</v>
      </c>
      <c r="C371" s="416">
        <v>0.04</v>
      </c>
    </row>
    <row r="372" spans="2:5">
      <c r="B372" s="48" t="s">
        <v>74</v>
      </c>
      <c r="C372" s="406">
        <v>1</v>
      </c>
    </row>
    <row r="373" spans="2:5">
      <c r="B373" s="415" t="s">
        <v>1108</v>
      </c>
      <c r="C373" s="407">
        <v>18</v>
      </c>
    </row>
    <row r="375" spans="2:5">
      <c r="B375" s="379" t="s">
        <v>1038</v>
      </c>
      <c r="C375" s="405">
        <f>(C372-C371)^C373</f>
        <v>0.47960333537262118</v>
      </c>
      <c r="E375" s="404" t="s">
        <v>1032</v>
      </c>
    </row>
    <row r="376" spans="2:5">
      <c r="B376" s="412" t="s">
        <v>1034</v>
      </c>
      <c r="C376" s="405">
        <f>1-C375</f>
        <v>0.52039666462737877</v>
      </c>
    </row>
    <row r="383" spans="2:5">
      <c r="B383" s="413" t="s">
        <v>1102</v>
      </c>
    </row>
    <row r="386" spans="2:8">
      <c r="B386" s="165" t="s">
        <v>74</v>
      </c>
      <c r="C386" s="408">
        <v>1</v>
      </c>
      <c r="D386" s="408">
        <v>1</v>
      </c>
      <c r="E386" s="408">
        <v>1</v>
      </c>
      <c r="F386" s="408">
        <v>1</v>
      </c>
      <c r="G386" s="408">
        <v>1</v>
      </c>
    </row>
    <row r="387" spans="2:8">
      <c r="B387" s="165" t="s">
        <v>1060</v>
      </c>
      <c r="C387" s="408">
        <v>0.04</v>
      </c>
      <c r="D387" s="408">
        <v>0.04</v>
      </c>
      <c r="E387" s="408">
        <v>0.04</v>
      </c>
      <c r="F387" s="408">
        <v>0.04</v>
      </c>
      <c r="G387" s="408">
        <v>0.04</v>
      </c>
      <c r="H387" s="1"/>
    </row>
    <row r="388" spans="2:8">
      <c r="B388" s="1"/>
      <c r="C388" s="1"/>
      <c r="D388" s="1"/>
      <c r="E388" s="1"/>
      <c r="F388" s="1"/>
      <c r="G388" s="1"/>
      <c r="H388" s="1"/>
    </row>
    <row r="389" spans="2:8">
      <c r="B389" s="165" t="s">
        <v>1100</v>
      </c>
      <c r="C389" s="326">
        <v>3</v>
      </c>
      <c r="D389" s="326">
        <v>9</v>
      </c>
      <c r="E389" s="326">
        <v>12</v>
      </c>
      <c r="F389" s="326">
        <v>24</v>
      </c>
      <c r="G389" s="326">
        <v>48</v>
      </c>
    </row>
    <row r="390" spans="2:8">
      <c r="B390" s="165" t="s">
        <v>1109</v>
      </c>
      <c r="C390" s="24">
        <f>C389*2</f>
        <v>6</v>
      </c>
      <c r="D390" s="24">
        <f t="shared" ref="D390:G390" si="5">D389*2</f>
        <v>18</v>
      </c>
      <c r="E390" s="24">
        <f t="shared" si="5"/>
        <v>24</v>
      </c>
      <c r="F390" s="24">
        <f t="shared" si="5"/>
        <v>48</v>
      </c>
      <c r="G390" s="24">
        <f t="shared" si="5"/>
        <v>96</v>
      </c>
    </row>
    <row r="391" spans="2:8">
      <c r="B391" s="1"/>
      <c r="C391" s="1"/>
      <c r="D391" s="1"/>
      <c r="E391" s="1"/>
      <c r="F391" s="1"/>
      <c r="G391" s="1"/>
    </row>
    <row r="392" spans="2:8">
      <c r="B392" s="165" t="s">
        <v>1098</v>
      </c>
      <c r="C392" s="381">
        <f>(C386-C387)^C390</f>
        <v>0.78275778969599996</v>
      </c>
      <c r="D392" s="381">
        <f t="shared" ref="D392:G392" si="6">(D386-D387)^D390</f>
        <v>0.47960333537262118</v>
      </c>
      <c r="E392" s="381">
        <f t="shared" si="6"/>
        <v>0.37541324672710236</v>
      </c>
      <c r="F392" s="381">
        <f t="shared" si="6"/>
        <v>0.14093510581818422</v>
      </c>
      <c r="G392" s="381">
        <f t="shared" si="6"/>
        <v>1.9862704051982785E-2</v>
      </c>
    </row>
    <row r="393" spans="2:8">
      <c r="B393" s="165" t="s">
        <v>1099</v>
      </c>
      <c r="C393" s="382">
        <f>1-C392</f>
        <v>0.21724221030400004</v>
      </c>
      <c r="D393" s="382">
        <f t="shared" ref="D393:G393" si="7">1-D392</f>
        <v>0.52039666462737877</v>
      </c>
      <c r="E393" s="382">
        <f t="shared" si="7"/>
        <v>0.6245867532728977</v>
      </c>
      <c r="F393" s="382">
        <f t="shared" si="7"/>
        <v>0.85906489418181575</v>
      </c>
      <c r="G393" s="382">
        <f t="shared" si="7"/>
        <v>0.98013729594801724</v>
      </c>
    </row>
    <row r="395" spans="2:8">
      <c r="C395" s="2" t="s">
        <v>1101</v>
      </c>
    </row>
    <row r="401" spans="2:7">
      <c r="B401" s="2" t="s">
        <v>1095</v>
      </c>
      <c r="C401" s="1"/>
      <c r="D401" s="1"/>
      <c r="E401" s="1"/>
      <c r="F401" s="1"/>
      <c r="G401" s="1"/>
    </row>
    <row r="402" spans="2:7">
      <c r="B402" s="2" t="s">
        <v>1096</v>
      </c>
      <c r="C402" s="1"/>
      <c r="D402" s="1"/>
      <c r="E402" s="1"/>
      <c r="F402" s="1"/>
      <c r="G402" s="1"/>
    </row>
    <row r="403" spans="2:7">
      <c r="B403" s="1"/>
      <c r="C403" s="1"/>
      <c r="D403" s="1"/>
      <c r="E403" s="1"/>
      <c r="F403" s="1"/>
      <c r="G403" s="1"/>
    </row>
    <row r="404" spans="2:7">
      <c r="B404" s="1"/>
      <c r="C404" s="1"/>
      <c r="D404" s="1"/>
      <c r="E404" s="1"/>
      <c r="F404" s="1"/>
      <c r="G404" s="1"/>
    </row>
    <row r="405" spans="2:7">
      <c r="B405" s="1" t="s">
        <v>1049</v>
      </c>
      <c r="C405" s="1"/>
      <c r="D405" s="165"/>
      <c r="E405" s="1"/>
      <c r="F405" s="1"/>
      <c r="G405" s="1"/>
    </row>
    <row r="406" spans="2:7">
      <c r="B406" s="1"/>
      <c r="C406" s="1"/>
      <c r="E406" s="414" t="s">
        <v>1103</v>
      </c>
    </row>
    <row r="407" spans="2:7">
      <c r="B407" s="165" t="s">
        <v>1097</v>
      </c>
      <c r="C407" s="326">
        <v>30</v>
      </c>
      <c r="D407" s="1"/>
      <c r="E407" s="1" t="s">
        <v>1106</v>
      </c>
    </row>
    <row r="408" spans="2:7">
      <c r="B408" s="165" t="s">
        <v>1041</v>
      </c>
      <c r="C408" s="326">
        <v>1</v>
      </c>
      <c r="D408" s="1"/>
      <c r="E408" s="1" t="s">
        <v>1110</v>
      </c>
    </row>
    <row r="409" spans="2:7">
      <c r="B409" s="165" t="s">
        <v>1046</v>
      </c>
      <c r="C409" s="326">
        <v>1.2</v>
      </c>
      <c r="D409" s="1"/>
      <c r="E409" s="1"/>
    </row>
    <row r="410" spans="2:7">
      <c r="B410" s="165" t="s">
        <v>1050</v>
      </c>
      <c r="C410" s="326">
        <v>1.4</v>
      </c>
      <c r="D410" s="1"/>
      <c r="E410" s="1" t="s">
        <v>1104</v>
      </c>
    </row>
    <row r="411" spans="2:7">
      <c r="B411" s="165" t="s">
        <v>1042</v>
      </c>
      <c r="C411" s="326">
        <v>1.65</v>
      </c>
      <c r="D411" s="1"/>
      <c r="E411" s="1" t="s">
        <v>1105</v>
      </c>
    </row>
    <row r="412" spans="2:7">
      <c r="B412" s="1"/>
      <c r="C412" s="1"/>
      <c r="D412" s="1"/>
      <c r="E412" s="1"/>
    </row>
    <row r="413" spans="2:7">
      <c r="B413" s="165" t="s">
        <v>1047</v>
      </c>
      <c r="C413" s="394">
        <f>((C408-C409)/(C408+C409))^2</f>
        <v>8.2644628099173504E-3</v>
      </c>
      <c r="D413" s="1"/>
      <c r="E413" s="1" t="s">
        <v>1044</v>
      </c>
    </row>
    <row r="414" spans="2:7">
      <c r="B414" s="165" t="s">
        <v>1048</v>
      </c>
      <c r="C414" s="394">
        <f>((C409-C410)/(C409+C410))^2</f>
        <v>5.9171597633136076E-3</v>
      </c>
      <c r="D414" s="1"/>
      <c r="E414" s="1"/>
    </row>
    <row r="415" spans="2:7">
      <c r="B415" s="165" t="s">
        <v>1051</v>
      </c>
      <c r="C415" s="394">
        <f>((C410-C411)/(C410+C411))^2</f>
        <v>6.7186240257995173E-3</v>
      </c>
      <c r="D415" s="1"/>
      <c r="E415" s="1"/>
    </row>
    <row r="416" spans="2:7">
      <c r="B416" s="165"/>
      <c r="C416" s="394"/>
      <c r="D416" s="1"/>
      <c r="E416" s="1"/>
    </row>
    <row r="417" spans="2:20">
      <c r="B417" s="165" t="s">
        <v>1043</v>
      </c>
      <c r="C417" s="411">
        <f>SUM(C413:C415)</f>
        <v>2.0900246599030475E-2</v>
      </c>
      <c r="D417" s="1"/>
      <c r="E417" s="1"/>
    </row>
    <row r="418" spans="2:20">
      <c r="B418" s="1"/>
      <c r="C418" s="1"/>
      <c r="D418" s="1"/>
      <c r="E418" s="1"/>
    </row>
    <row r="419" spans="2:20">
      <c r="B419" s="1"/>
      <c r="C419" s="1"/>
      <c r="D419" s="1"/>
      <c r="E419" s="1"/>
    </row>
    <row r="420" spans="2:20">
      <c r="B420" s="165" t="s">
        <v>1098</v>
      </c>
      <c r="C420" s="381">
        <f>(1-C417)^(C407*2)</f>
        <v>0.28158950935402849</v>
      </c>
      <c r="D420" s="1"/>
      <c r="E420" s="2" t="s">
        <v>1032</v>
      </c>
    </row>
    <row r="421" spans="2:20">
      <c r="B421" s="165" t="s">
        <v>1099</v>
      </c>
      <c r="C421" s="409">
        <f>1-C420</f>
        <v>0.71841049064597151</v>
      </c>
      <c r="D421" s="1"/>
      <c r="E421" s="1"/>
    </row>
    <row r="426" spans="2:20">
      <c r="B426" s="47"/>
      <c r="S426" s="1"/>
      <c r="T426" s="1"/>
    </row>
    <row r="427" spans="2:20">
      <c r="B427" s="47"/>
      <c r="S427" s="1"/>
      <c r="T427" s="1"/>
    </row>
    <row r="428" spans="2:20">
      <c r="H428" s="1"/>
      <c r="I428" s="1"/>
      <c r="J428" s="1"/>
      <c r="K428" s="1"/>
      <c r="L428" s="1"/>
      <c r="M428" s="1"/>
      <c r="N428" s="1"/>
      <c r="O428" s="1"/>
      <c r="P428" s="1"/>
      <c r="Q428" s="1"/>
      <c r="R428" s="1"/>
      <c r="S428" s="1"/>
      <c r="T428" s="1"/>
    </row>
    <row r="429" spans="2:20">
      <c r="H429" s="1"/>
      <c r="I429" s="1"/>
      <c r="J429" s="1"/>
      <c r="K429" s="1"/>
      <c r="L429" s="1"/>
      <c r="M429" s="1"/>
      <c r="N429" s="1"/>
      <c r="O429" s="1"/>
      <c r="P429" s="1"/>
      <c r="Q429" s="1"/>
      <c r="R429" s="1"/>
      <c r="S429" s="1"/>
      <c r="T429" s="1"/>
    </row>
    <row r="435" spans="2:14">
      <c r="B435" s="441" t="s">
        <v>1154</v>
      </c>
      <c r="C435" s="221" t="s">
        <v>1040</v>
      </c>
      <c r="D435" s="374"/>
      <c r="E435" s="421" t="s">
        <v>1133</v>
      </c>
      <c r="F435" s="422" t="s">
        <v>1134</v>
      </c>
      <c r="G435" s="422" t="s">
        <v>1134</v>
      </c>
      <c r="H435" s="439" t="s">
        <v>1134</v>
      </c>
      <c r="I435" s="439" t="s">
        <v>1134</v>
      </c>
      <c r="J435" s="439" t="s">
        <v>1134</v>
      </c>
      <c r="K435" s="439" t="s">
        <v>1134</v>
      </c>
      <c r="L435" s="439" t="s">
        <v>1134</v>
      </c>
      <c r="M435" s="439" t="s">
        <v>1134</v>
      </c>
      <c r="N435" s="204"/>
    </row>
    <row r="436" spans="2:14">
      <c r="B436" s="318"/>
      <c r="C436"/>
      <c r="D436"/>
      <c r="E436" s="318" t="s">
        <v>1135</v>
      </c>
      <c r="F436" s="319" t="s">
        <v>1136</v>
      </c>
      <c r="G436" s="319" t="s">
        <v>1137</v>
      </c>
      <c r="H436" s="440" t="s">
        <v>1138</v>
      </c>
      <c r="I436" s="440" t="s">
        <v>1139</v>
      </c>
      <c r="J436" s="440" t="s">
        <v>1140</v>
      </c>
      <c r="K436" s="440" t="s">
        <v>1141</v>
      </c>
      <c r="L436" s="440" t="s">
        <v>1142</v>
      </c>
      <c r="M436" s="440" t="s">
        <v>1143</v>
      </c>
      <c r="N436" s="423" t="s">
        <v>1144</v>
      </c>
    </row>
    <row r="437" spans="2:14">
      <c r="B437" s="318" t="s">
        <v>1145</v>
      </c>
      <c r="C437" s="318" t="s">
        <v>1146</v>
      </c>
      <c r="D437" s="424">
        <v>1</v>
      </c>
      <c r="E437" s="425"/>
      <c r="F437" s="426"/>
      <c r="G437" s="427"/>
      <c r="H437" s="427"/>
      <c r="I437" s="427"/>
      <c r="J437" s="427"/>
      <c r="K437" s="427"/>
      <c r="L437" s="427"/>
      <c r="M437"/>
      <c r="N437" s="204"/>
    </row>
    <row r="438" spans="2:14">
      <c r="B438" s="318"/>
      <c r="C438" s="318" t="s">
        <v>1149</v>
      </c>
      <c r="D438" s="424">
        <v>1.5</v>
      </c>
      <c r="E438" s="425">
        <f>((D437-D438)/(D437+D438))^2</f>
        <v>4.0000000000000008E-2</v>
      </c>
      <c r="F438" s="428">
        <f>1-1*E438</f>
        <v>0.96</v>
      </c>
      <c r="G438" s="429">
        <f>F438-F438*E438</f>
        <v>0.92159999999999997</v>
      </c>
      <c r="H438" s="429">
        <f>G438-G438*E438</f>
        <v>0.88473599999999997</v>
      </c>
      <c r="I438" s="429">
        <f>H438-H438*E438</f>
        <v>0.84934655999999997</v>
      </c>
      <c r="J438" s="429">
        <f>I438-I438*E438</f>
        <v>0.81537269759999997</v>
      </c>
      <c r="K438" s="429">
        <f>J438-J438*E438</f>
        <v>0.78275778969599996</v>
      </c>
      <c r="L438" s="429">
        <f>K438-K438*E438</f>
        <v>0.75144747810815993</v>
      </c>
      <c r="M438" s="429">
        <f>L438-L438*E438</f>
        <v>0.72138957898383349</v>
      </c>
      <c r="N438" s="430">
        <f>(1-E438)^8</f>
        <v>0.7213895789838336</v>
      </c>
    </row>
    <row r="439" spans="2:14">
      <c r="B439" s="318"/>
      <c r="C439"/>
      <c r="D439" s="57"/>
      <c r="E439"/>
      <c r="F439" s="431">
        <f>SUM(E438:E438)</f>
        <v>4.0000000000000008E-2</v>
      </c>
      <c r="G439" s="432">
        <f t="shared" ref="G439:M439" si="8">1-G438</f>
        <v>7.8400000000000025E-2</v>
      </c>
      <c r="H439" s="432">
        <f t="shared" si="8"/>
        <v>0.11526400000000003</v>
      </c>
      <c r="I439" s="432">
        <f t="shared" si="8"/>
        <v>0.15065344000000003</v>
      </c>
      <c r="J439" s="432">
        <f t="shared" si="8"/>
        <v>0.18462730240000003</v>
      </c>
      <c r="K439" s="432">
        <f t="shared" si="8"/>
        <v>0.21724221030400004</v>
      </c>
      <c r="L439" s="432">
        <f t="shared" si="8"/>
        <v>0.24855252189184007</v>
      </c>
      <c r="M439" s="432">
        <f t="shared" si="8"/>
        <v>0.27861042101616651</v>
      </c>
      <c r="N439" s="433"/>
    </row>
    <row r="440" spans="2:14">
      <c r="B440" s="318"/>
      <c r="C440"/>
      <c r="D440" s="57"/>
      <c r="E440"/>
      <c r="F440" s="434"/>
      <c r="G440" s="429"/>
      <c r="H440" s="427"/>
      <c r="I440" s="427"/>
      <c r="J440" s="427"/>
      <c r="K440" s="427"/>
      <c r="L440" s="427"/>
      <c r="M440" s="318"/>
      <c r="N440" s="433"/>
    </row>
    <row r="441" spans="2:14">
      <c r="B441" s="318" t="s">
        <v>1148</v>
      </c>
      <c r="C441" s="318" t="s">
        <v>1146</v>
      </c>
      <c r="D441" s="424">
        <v>1</v>
      </c>
      <c r="E441" s="425"/>
      <c r="F441" s="434"/>
      <c r="G441" s="427"/>
      <c r="H441" s="427"/>
      <c r="I441" s="427"/>
      <c r="J441" s="427"/>
      <c r="K441" s="427"/>
      <c r="L441" s="427"/>
      <c r="M441" s="318"/>
      <c r="N441" s="433"/>
    </row>
    <row r="442" spans="2:14">
      <c r="B442" s="318"/>
      <c r="C442" s="318" t="s">
        <v>1149</v>
      </c>
      <c r="D442" s="424">
        <v>1.25</v>
      </c>
      <c r="E442" s="425">
        <f>((D441-D442)/(D441+D442))^2</f>
        <v>1.2345679012345678E-2</v>
      </c>
      <c r="F442" s="428">
        <f>1-1*E442</f>
        <v>0.98765432098765427</v>
      </c>
      <c r="G442" s="428">
        <f>F443-F443*E442</f>
        <v>0.96739939613115811</v>
      </c>
      <c r="H442" s="428">
        <f>G443-G443*E442</f>
        <v>0.94755986153036609</v>
      </c>
      <c r="I442" s="428">
        <f>H443-H443*E442</f>
        <v>0.92812719831563251</v>
      </c>
      <c r="J442" s="428">
        <f>I443-I443*E442</f>
        <v>0.90909306232323972</v>
      </c>
      <c r="K442" s="428">
        <f>J443-J443*E442</f>
        <v>0.89044928051250904</v>
      </c>
      <c r="L442" s="428">
        <f>K443-K443*E442</f>
        <v>0.87218784745639089</v>
      </c>
      <c r="M442" s="428">
        <f>L443-L443*E442</f>
        <v>0.8543009219040254</v>
      </c>
      <c r="N442" s="430"/>
    </row>
    <row r="443" spans="2:14">
      <c r="B443" s="318"/>
      <c r="C443" s="318" t="s">
        <v>1150</v>
      </c>
      <c r="D443" s="424">
        <v>1.5</v>
      </c>
      <c r="E443" s="425">
        <f>((D442-D443)/(D442+D443))^2</f>
        <v>8.2644628099173556E-3</v>
      </c>
      <c r="F443" s="428">
        <f>F442-F442*E443</f>
        <v>0.97949188858279757</v>
      </c>
      <c r="G443" s="428">
        <f>G442-G442*E443</f>
        <v>0.95940435979949568</v>
      </c>
      <c r="H443" s="428">
        <f>H442-H442*E443</f>
        <v>0.93972878829457795</v>
      </c>
      <c r="I443" s="428">
        <f>I442-I442*E443</f>
        <v>0.9204567256022802</v>
      </c>
      <c r="J443" s="428">
        <f>J442-J442*E443</f>
        <v>0.90157989651891546</v>
      </c>
      <c r="K443" s="428">
        <f>K442-K442*E443</f>
        <v>0.88309019554959578</v>
      </c>
      <c r="L443" s="428">
        <f>L442-L442*E443</f>
        <v>0.86497968342782572</v>
      </c>
      <c r="M443" s="428">
        <f>M442-M442*E443</f>
        <v>0.84724058370647148</v>
      </c>
      <c r="N443" s="430"/>
    </row>
    <row r="444" spans="2:14">
      <c r="B444" s="318"/>
      <c r="C444"/>
      <c r="D444" s="57"/>
      <c r="E444"/>
      <c r="F444" s="435">
        <f>1-F443</f>
        <v>2.0508111417202435E-2</v>
      </c>
      <c r="G444" s="435">
        <f>1-G443</f>
        <v>4.0595640200504324E-2</v>
      </c>
      <c r="H444" s="435">
        <f t="shared" ref="H444:M444" si="9">1-H443</f>
        <v>6.0271211705422045E-2</v>
      </c>
      <c r="I444" s="435">
        <f t="shared" si="9"/>
        <v>7.9543274397719799E-2</v>
      </c>
      <c r="J444" s="435">
        <f t="shared" si="9"/>
        <v>9.8420103481084542E-2</v>
      </c>
      <c r="K444" s="435">
        <f t="shared" si="9"/>
        <v>0.11690980445040422</v>
      </c>
      <c r="L444" s="435">
        <f t="shared" si="9"/>
        <v>0.13502031657217428</v>
      </c>
      <c r="M444" s="435">
        <f t="shared" si="9"/>
        <v>0.15275941629352852</v>
      </c>
      <c r="N444" s="433"/>
    </row>
    <row r="445" spans="2:14">
      <c r="B445" s="318"/>
      <c r="C445"/>
      <c r="D445" s="57"/>
      <c r="E445"/>
      <c r="F445" s="436"/>
      <c r="G445" s="427"/>
      <c r="H445" s="427"/>
      <c r="I445" s="427"/>
      <c r="J445" s="427"/>
      <c r="K445" s="427"/>
      <c r="L445" s="427"/>
      <c r="M445" s="318"/>
      <c r="N445" s="433"/>
    </row>
    <row r="446" spans="2:14">
      <c r="B446" s="318" t="s">
        <v>1151</v>
      </c>
      <c r="C446" s="318" t="s">
        <v>1146</v>
      </c>
      <c r="D446" s="424">
        <v>1</v>
      </c>
      <c r="E446" s="425"/>
      <c r="F446" s="426"/>
      <c r="G446" s="427"/>
      <c r="H446" s="427"/>
      <c r="I446" s="427"/>
      <c r="J446" s="427"/>
      <c r="K446" s="427"/>
      <c r="L446" s="427"/>
      <c r="M446" s="318"/>
      <c r="N446" s="433"/>
    </row>
    <row r="447" spans="2:14">
      <c r="B447" s="318"/>
      <c r="C447" s="318" t="s">
        <v>1149</v>
      </c>
      <c r="D447" s="424">
        <v>1.1499999999999999</v>
      </c>
      <c r="E447" s="425">
        <f>((D446-D447)/(D446+D447))^2</f>
        <v>4.8674959437533744E-3</v>
      </c>
      <c r="F447" s="428">
        <f>1-1*E447</f>
        <v>0.99513250405624665</v>
      </c>
      <c r="G447" s="428">
        <f>F449-F449*E447</f>
        <v>0.98154311027188934</v>
      </c>
      <c r="H447" s="428">
        <f>G449-G449*E447</f>
        <v>0.96813929139607302</v>
      </c>
      <c r="I447" s="428">
        <f>H449-H449*E447</f>
        <v>0.95491851324315047</v>
      </c>
      <c r="J447" s="428">
        <f>I449-I449*E447</f>
        <v>0.94187827623396858</v>
      </c>
      <c r="K447" s="428">
        <f>J449-J449*E447</f>
        <v>0.92901611492328595</v>
      </c>
      <c r="L447" s="428">
        <f>K449-K449*E447</f>
        <v>0.91632959753364529</v>
      </c>
      <c r="M447" s="428">
        <f>L449-L449*E447</f>
        <v>0.90381632549561064</v>
      </c>
      <c r="N447" s="433"/>
    </row>
    <row r="448" spans="2:14">
      <c r="B448" s="318"/>
      <c r="C448" s="318" t="s">
        <v>1150</v>
      </c>
      <c r="D448" s="424">
        <v>1.3</v>
      </c>
      <c r="E448" s="425">
        <f>((D447-D448)/(D447+D448))^2</f>
        <v>3.7484381507705182E-3</v>
      </c>
      <c r="F448" s="428">
        <f>F447-F447*E448</f>
        <v>0.99140231141297042</v>
      </c>
      <c r="G448" s="428">
        <f>G447-G447*E448</f>
        <v>0.97786385663072029</v>
      </c>
      <c r="H448" s="428">
        <f>H447-H447*E448</f>
        <v>0.96451028114094406</v>
      </c>
      <c r="I448" s="428">
        <f>I447-I447*E448</f>
        <v>0.9513390602572328</v>
      </c>
      <c r="J448" s="428">
        <f>J447-J447*E448</f>
        <v>0.93834770376995125</v>
      </c>
      <c r="K448" s="428">
        <f>K447-K447*E448</f>
        <v>0.92553375547542693</v>
      </c>
      <c r="L448" s="428">
        <f>L447-L447*E448</f>
        <v>0.91289479271156992</v>
      </c>
      <c r="M448" s="428">
        <f>M447-M447*E448</f>
        <v>0.90042842589983363</v>
      </c>
      <c r="N448" s="433"/>
    </row>
    <row r="449" spans="2:14">
      <c r="B449" s="318"/>
      <c r="C449" s="318" t="s">
        <v>1147</v>
      </c>
      <c r="D449" s="424">
        <v>1.5</v>
      </c>
      <c r="E449" s="425">
        <f>((D448-D449)/(D448+D449))^2</f>
        <v>5.1020408163265285E-3</v>
      </c>
      <c r="F449" s="428">
        <f>F448-F448*E449</f>
        <v>0.98634413635474094</v>
      </c>
      <c r="G449" s="428">
        <f>G448-G448*E449</f>
        <v>0.9728747553213799</v>
      </c>
      <c r="H449" s="428">
        <f>H448-H448*E449</f>
        <v>0.95958931031879635</v>
      </c>
      <c r="I449" s="428">
        <f>I448-I448*E449</f>
        <v>0.94648528954163469</v>
      </c>
      <c r="J449" s="428">
        <f>J448-J448*E449</f>
        <v>0.93356021548541068</v>
      </c>
      <c r="K449" s="428">
        <f>K448-K448*E449</f>
        <v>0.92081164447810337</v>
      </c>
      <c r="L449" s="428">
        <f>L448-L448*E449</f>
        <v>0.90823716621814354</v>
      </c>
      <c r="M449" s="428">
        <f>M448-M448*E449</f>
        <v>0.895834403318712</v>
      </c>
      <c r="N449" s="430"/>
    </row>
    <row r="450" spans="2:14">
      <c r="B450" s="318"/>
      <c r="C450"/>
      <c r="D450" s="57"/>
      <c r="E450"/>
      <c r="F450" s="437">
        <f>1-F449</f>
        <v>1.3655863645259059E-2</v>
      </c>
      <c r="G450" s="437">
        <f>1-G449</f>
        <v>2.7125244678620097E-2</v>
      </c>
      <c r="H450" s="435">
        <f t="shared" ref="H450:M450" si="10">1-H449</f>
        <v>4.0410689681203649E-2</v>
      </c>
      <c r="I450" s="435">
        <f t="shared" si="10"/>
        <v>5.3514710458365311E-2</v>
      </c>
      <c r="J450" s="435">
        <f t="shared" si="10"/>
        <v>6.6439784514589317E-2</v>
      </c>
      <c r="K450" s="435">
        <f t="shared" si="10"/>
        <v>7.9188355521896625E-2</v>
      </c>
      <c r="L450" s="435">
        <f t="shared" si="10"/>
        <v>9.1762833781856457E-2</v>
      </c>
      <c r="M450" s="435">
        <f t="shared" si="10"/>
        <v>0.104165596681288</v>
      </c>
      <c r="N450" s="433"/>
    </row>
    <row r="451" spans="2:14">
      <c r="B451" s="318"/>
      <c r="C451"/>
      <c r="D451" s="57"/>
      <c r="E451"/>
      <c r="F451" s="438"/>
      <c r="G451" s="427"/>
      <c r="H451" s="427"/>
      <c r="I451" s="427"/>
      <c r="J451" s="427"/>
      <c r="K451" s="427"/>
      <c r="L451" s="427"/>
      <c r="M451" s="318"/>
      <c r="N451" s="433"/>
    </row>
    <row r="452" spans="2:14">
      <c r="B452" s="318" t="s">
        <v>1152</v>
      </c>
      <c r="C452" s="318" t="s">
        <v>1146</v>
      </c>
      <c r="D452" s="424">
        <v>1</v>
      </c>
      <c r="E452" s="425"/>
      <c r="F452" s="426"/>
      <c r="G452" s="427"/>
      <c r="H452" s="427"/>
      <c r="I452" s="427"/>
      <c r="J452" s="427"/>
      <c r="K452" s="427"/>
      <c r="L452" s="427"/>
      <c r="M452" s="318"/>
      <c r="N452" s="433"/>
    </row>
    <row r="453" spans="2:14">
      <c r="B453" s="318"/>
      <c r="C453" s="318" t="s">
        <v>1149</v>
      </c>
      <c r="D453" s="424">
        <v>1.1499999999999999</v>
      </c>
      <c r="E453" s="425">
        <f>((D452-D453)/(D452+D453))^2</f>
        <v>4.8674959437533744E-3</v>
      </c>
      <c r="F453" s="428">
        <f>1-1*E453</f>
        <v>0.99513250405624665</v>
      </c>
      <c r="G453" s="429">
        <f>F456-F456*E453</f>
        <v>0.98335882089413251</v>
      </c>
      <c r="H453" s="429">
        <f>G456-G456*E453</f>
        <v>0.97172443537794673</v>
      </c>
      <c r="I453" s="429">
        <f>H456-H456*E453</f>
        <v>0.96022769943937514</v>
      </c>
      <c r="J453" s="429">
        <f>I456-I456*E453</f>
        <v>0.94886698450884766</v>
      </c>
      <c r="K453" s="429">
        <f>J456-J456*E453</f>
        <v>0.93764068128484357</v>
      </c>
      <c r="L453" s="429">
        <f>K456-K456*E453</f>
        <v>0.9265471995059259</v>
      </c>
      <c r="M453" s="429">
        <f>L456-L456*E453</f>
        <v>0.91558496772547304</v>
      </c>
      <c r="N453" s="433"/>
    </row>
    <row r="454" spans="2:14">
      <c r="B454" s="318"/>
      <c r="C454" s="318" t="s">
        <v>1150</v>
      </c>
      <c r="D454" s="424">
        <v>1.3</v>
      </c>
      <c r="E454" s="425">
        <f>((D453-D454)/(D453+D454))^2</f>
        <v>3.7484381507705182E-3</v>
      </c>
      <c r="F454" s="428">
        <f>F453-F453*E454</f>
        <v>0.99140231141297042</v>
      </c>
      <c r="G454" s="429">
        <f>G453-G453*E454</f>
        <v>0.97967276117399626</v>
      </c>
      <c r="H454" s="429">
        <f>H453-H453*E454</f>
        <v>0.96808198643234011</v>
      </c>
      <c r="I454" s="429">
        <f>I453-I453*E454</f>
        <v>0.95662834529736995</v>
      </c>
      <c r="J454" s="429">
        <f>J453-J453*E454</f>
        <v>0.94531021530410808</v>
      </c>
      <c r="K454" s="429">
        <f>K453-K453*E454</f>
        <v>0.93412599318340095</v>
      </c>
      <c r="L454" s="429">
        <f>L453-L453*E454</f>
        <v>0.92307409463480827</v>
      </c>
      <c r="M454" s="429">
        <f>M453-M453*E454</f>
        <v>0.91215295410217889</v>
      </c>
      <c r="N454" s="433"/>
    </row>
    <row r="455" spans="2:14">
      <c r="B455" s="318"/>
      <c r="C455" s="318" t="s">
        <v>1147</v>
      </c>
      <c r="D455" s="424">
        <v>1.45</v>
      </c>
      <c r="E455" s="425">
        <f>((D454-D455)/(D454+D455))^2</f>
        <v>2.9752066115702447E-3</v>
      </c>
      <c r="F455" s="428">
        <f>F454-F454*E455</f>
        <v>0.98845268470132852</v>
      </c>
      <c r="G455" s="429">
        <f>G454-G454*E455</f>
        <v>0.97675803229777614</v>
      </c>
      <c r="H455" s="429">
        <f>H454-H454*E455</f>
        <v>0.96520174250576452</v>
      </c>
      <c r="I455" s="429">
        <f>I454-I454*E455</f>
        <v>0.95378217831962575</v>
      </c>
      <c r="J455" s="429">
        <f>J454-J454*E455</f>
        <v>0.94249772210155036</v>
      </c>
      <c r="K455" s="429">
        <f>K454-K454*E455</f>
        <v>0.93134677535244204</v>
      </c>
      <c r="L455" s="429">
        <f>L454-L454*E455</f>
        <v>0.92032775848548154</v>
      </c>
      <c r="M455" s="429">
        <f>M454-M454*E455</f>
        <v>0.90943911060237081</v>
      </c>
      <c r="N455" s="433"/>
    </row>
    <row r="456" spans="2:14">
      <c r="B456" s="318"/>
      <c r="C456" s="318" t="s">
        <v>1153</v>
      </c>
      <c r="D456" s="424">
        <v>1.5</v>
      </c>
      <c r="E456" s="425">
        <f>((D455-D456)/(D455+D456))^2</f>
        <v>2.8727377190462556E-4</v>
      </c>
      <c r="F456" s="428">
        <f>F455-F455*E456</f>
        <v>0.98816872817024515</v>
      </c>
      <c r="G456" s="429">
        <f>G455-G455*E456</f>
        <v>0.97647743533359976</v>
      </c>
      <c r="H456" s="429">
        <f>H455-H455*E456</f>
        <v>0.96492446536054599</v>
      </c>
      <c r="I456" s="429">
        <f>I455-I455*E456</f>
        <v>0.95350818171568441</v>
      </c>
      <c r="J456" s="429">
        <f>J455-J455*E456</f>
        <v>0.94222696722591071</v>
      </c>
      <c r="K456" s="429">
        <f>K455-K455*E456</f>
        <v>0.93107922385133535</v>
      </c>
      <c r="L456" s="429">
        <f>L455-L455*E456</f>
        <v>0.9200633724589129</v>
      </c>
      <c r="M456" s="429">
        <f>M455-M455*E456</f>
        <v>0.9091778525987505</v>
      </c>
      <c r="N456" s="430"/>
    </row>
    <row r="457" spans="2:14">
      <c r="B457"/>
      <c r="C457"/>
      <c r="D457"/>
      <c r="E457" s="318"/>
      <c r="F457" s="437">
        <f>1-F456</f>
        <v>1.1831271829754852E-2</v>
      </c>
      <c r="G457" s="435">
        <f t="shared" ref="G457:M457" si="11">1-G456</f>
        <v>2.3522564666400236E-2</v>
      </c>
      <c r="H457" s="435">
        <f t="shared" si="11"/>
        <v>3.5075534639454009E-2</v>
      </c>
      <c r="I457" s="435">
        <f t="shared" si="11"/>
        <v>4.6491818284315589E-2</v>
      </c>
      <c r="J457" s="435">
        <f t="shared" si="11"/>
        <v>5.7773032774089295E-2</v>
      </c>
      <c r="K457" s="435">
        <f t="shared" si="11"/>
        <v>6.8920776148664653E-2</v>
      </c>
      <c r="L457" s="435">
        <f t="shared" si="11"/>
        <v>7.9936627541087102E-2</v>
      </c>
      <c r="M457" s="435">
        <f t="shared" si="11"/>
        <v>9.0822147401249498E-2</v>
      </c>
      <c r="N457" s="204"/>
    </row>
    <row r="492" spans="2:7">
      <c r="B492" s="1"/>
      <c r="C492" s="1"/>
      <c r="D492" s="1"/>
      <c r="E492" s="1"/>
      <c r="F492" s="1"/>
      <c r="G492" s="1"/>
    </row>
    <row r="493" spans="2:7">
      <c r="B493" s="1"/>
      <c r="C493" s="1"/>
      <c r="D493" s="1"/>
      <c r="E493" s="1"/>
      <c r="F493" s="1"/>
      <c r="G493" s="1"/>
    </row>
    <row r="494" spans="2:7">
      <c r="B494" s="2" t="s">
        <v>1119</v>
      </c>
      <c r="C494" s="1"/>
      <c r="D494" s="1"/>
      <c r="E494" s="1"/>
      <c r="F494" s="1"/>
      <c r="G494" s="1"/>
    </row>
    <row r="495" spans="2:7">
      <c r="B495" s="2" t="s">
        <v>1120</v>
      </c>
      <c r="C495" s="1"/>
      <c r="D495" s="1"/>
      <c r="E495" s="1"/>
      <c r="F495" s="1"/>
      <c r="G495" s="1"/>
    </row>
    <row r="496" spans="2:7">
      <c r="B496" s="2" t="s">
        <v>1121</v>
      </c>
      <c r="C496" s="1"/>
      <c r="D496" s="1"/>
      <c r="E496" s="1"/>
      <c r="F496" s="1"/>
      <c r="G496" s="1"/>
    </row>
    <row r="497" spans="2:7">
      <c r="B497" s="1"/>
      <c r="C497" s="1"/>
      <c r="D497" s="1"/>
      <c r="E497" s="1"/>
      <c r="F497" s="1"/>
      <c r="G497" s="1"/>
    </row>
    <row r="498" spans="2:7">
      <c r="B498" s="13" t="s">
        <v>1122</v>
      </c>
      <c r="C498" s="14"/>
      <c r="D498" s="14"/>
      <c r="E498" s="15"/>
      <c r="F498" s="1" t="s">
        <v>1123</v>
      </c>
      <c r="G498" s="1"/>
    </row>
    <row r="499" spans="2:7">
      <c r="B499" s="13" t="s">
        <v>1046</v>
      </c>
      <c r="C499" s="14"/>
      <c r="D499" s="14"/>
      <c r="E499" s="15"/>
      <c r="F499" s="1" t="s">
        <v>1125</v>
      </c>
      <c r="G499" s="1"/>
    </row>
    <row r="500" spans="2:7">
      <c r="B500" s="13" t="s">
        <v>1050</v>
      </c>
      <c r="C500" s="14"/>
      <c r="D500" s="14"/>
      <c r="E500" s="15"/>
      <c r="F500" s="1" t="s">
        <v>1126</v>
      </c>
      <c r="G500" s="1"/>
    </row>
    <row r="501" spans="2:7">
      <c r="B501" s="13" t="s">
        <v>1053</v>
      </c>
      <c r="C501" s="14"/>
      <c r="D501" s="14"/>
      <c r="E501" s="15"/>
      <c r="F501" s="1" t="s">
        <v>1127</v>
      </c>
      <c r="G501" s="1"/>
    </row>
    <row r="502" spans="2:7">
      <c r="B502" s="13" t="s">
        <v>1129</v>
      </c>
      <c r="C502" s="14"/>
      <c r="D502" s="14"/>
      <c r="E502" s="15"/>
      <c r="F502" s="1" t="s">
        <v>1130</v>
      </c>
      <c r="G502" s="1"/>
    </row>
    <row r="503" spans="2:7">
      <c r="B503" s="1"/>
      <c r="C503" s="1"/>
      <c r="D503" s="1"/>
      <c r="E503" s="1"/>
      <c r="F503" s="1"/>
      <c r="G503" s="1"/>
    </row>
    <row r="504" spans="2:7">
      <c r="B504" s="1"/>
      <c r="C504" s="1"/>
      <c r="D504" s="1"/>
      <c r="E504" s="1"/>
      <c r="F504" s="1"/>
      <c r="G504" s="1"/>
    </row>
    <row r="505" spans="2:7">
      <c r="B505" s="1"/>
      <c r="C505" s="1"/>
      <c r="D505" s="1"/>
      <c r="E505" s="1"/>
      <c r="F505" s="1"/>
      <c r="G505" s="1"/>
    </row>
    <row r="506" spans="2:7">
      <c r="B506" s="1"/>
      <c r="C506" s="1"/>
      <c r="D506" s="1"/>
      <c r="E506" s="1"/>
      <c r="F506" s="1"/>
      <c r="G506" s="1"/>
    </row>
    <row r="507" spans="2:7">
      <c r="B507" s="1"/>
      <c r="C507" s="1"/>
      <c r="D507" s="1"/>
      <c r="E507" s="1"/>
      <c r="F507" s="1"/>
      <c r="G507" s="1"/>
    </row>
    <row r="508" spans="2:7">
      <c r="B508" s="1"/>
      <c r="C508" s="1"/>
      <c r="D508" s="1"/>
      <c r="E508" s="1"/>
      <c r="F508" s="1"/>
      <c r="G508" s="1"/>
    </row>
    <row r="509" spans="2:7">
      <c r="B509" s="1"/>
      <c r="C509" s="1"/>
      <c r="D509" s="1"/>
      <c r="E509" s="1"/>
      <c r="F509" s="1"/>
      <c r="G509" s="1"/>
    </row>
    <row r="510" spans="2:7">
      <c r="B510" s="1"/>
      <c r="C510" s="1"/>
      <c r="D510" s="1"/>
      <c r="E510" s="1"/>
      <c r="F510" s="1"/>
      <c r="G510" s="1"/>
    </row>
    <row r="511" spans="2:7">
      <c r="B511" s="1"/>
      <c r="C511" s="1"/>
      <c r="D511" s="1"/>
      <c r="E511" s="1"/>
      <c r="F511" s="1"/>
      <c r="G511" s="1"/>
    </row>
    <row r="512" spans="2:7">
      <c r="B512" s="1" t="s">
        <v>1124</v>
      </c>
      <c r="C512" s="1"/>
      <c r="D512" s="1"/>
      <c r="E512" s="1"/>
      <c r="F512" s="1"/>
      <c r="G512" s="1"/>
    </row>
    <row r="513" spans="2:7">
      <c r="B513" s="1" t="s">
        <v>1155</v>
      </c>
      <c r="C513" s="1"/>
      <c r="D513" s="1"/>
      <c r="E513" s="1"/>
      <c r="F513" s="1"/>
      <c r="G513" s="1"/>
    </row>
    <row r="514" spans="2:7">
      <c r="B514" s="1"/>
      <c r="C514" s="1"/>
      <c r="D514" s="1"/>
      <c r="E514" s="1"/>
      <c r="F514" s="1"/>
      <c r="G514" s="1"/>
    </row>
    <row r="515" spans="2:7">
      <c r="B515" s="1" t="s">
        <v>1128</v>
      </c>
      <c r="C515" s="1"/>
      <c r="D515" s="1"/>
      <c r="E515" s="1"/>
      <c r="F515" s="1"/>
      <c r="G515" s="1"/>
    </row>
    <row r="516" spans="2:7">
      <c r="B516" s="47"/>
      <c r="C516" s="1"/>
      <c r="D516" s="1"/>
      <c r="E516" s="1"/>
      <c r="F516" s="1"/>
      <c r="G516" s="1"/>
    </row>
    <row r="517" spans="2:7">
      <c r="B517" s="1" t="s">
        <v>1131</v>
      </c>
      <c r="C517" s="1"/>
      <c r="D517" s="1"/>
      <c r="E517" s="1"/>
      <c r="F517" s="1"/>
      <c r="G517" s="1"/>
    </row>
    <row r="518" spans="2:7">
      <c r="B518" s="1" t="s">
        <v>1132</v>
      </c>
    </row>
    <row r="527" spans="2:7">
      <c r="B527" s="47"/>
    </row>
    <row r="528" spans="2:7">
      <c r="B528" s="47"/>
    </row>
    <row r="529" spans="2:2">
      <c r="B529" s="47"/>
    </row>
    <row r="530" spans="2:2">
      <c r="B530" s="47"/>
    </row>
    <row r="531" spans="2:2">
      <c r="B531" s="47"/>
    </row>
    <row r="532" spans="2:2">
      <c r="B532" s="47"/>
    </row>
    <row r="533" spans="2:2">
      <c r="B533" s="47"/>
    </row>
    <row r="534" spans="2:2">
      <c r="B534" s="47"/>
    </row>
    <row r="535" spans="2:2">
      <c r="B535" s="47"/>
    </row>
    <row r="536" spans="2:2">
      <c r="B536" s="47"/>
    </row>
    <row r="537" spans="2:2">
      <c r="B537" s="47"/>
    </row>
    <row r="538" spans="2:2">
      <c r="B538" s="47"/>
    </row>
    <row r="539" spans="2:2">
      <c r="B539" s="47"/>
    </row>
    <row r="540" spans="2:2">
      <c r="B540" s="47"/>
    </row>
    <row r="541" spans="2:2">
      <c r="B541" s="47"/>
    </row>
    <row r="542" spans="2:2">
      <c r="B542" s="47"/>
    </row>
    <row r="543" spans="2:2">
      <c r="B543" s="47"/>
    </row>
    <row r="544" spans="2:2">
      <c r="B544" s="47"/>
    </row>
    <row r="545" spans="2:2">
      <c r="B545" s="47"/>
    </row>
    <row r="546" spans="2:2">
      <c r="B546" s="47"/>
    </row>
    <row r="547" spans="2:2">
      <c r="B547" s="47"/>
    </row>
    <row r="548" spans="2:2">
      <c r="B548" s="47"/>
    </row>
    <row r="549" spans="2:2" ht="13.5" customHeight="1">
      <c r="B549" s="47"/>
    </row>
    <row r="550" spans="2:2" ht="15" customHeight="1">
      <c r="B550" s="47"/>
    </row>
    <row r="551" spans="2:2" ht="15" customHeight="1">
      <c r="B551" s="47"/>
    </row>
    <row r="552" spans="2:2" ht="14.25" customHeight="1">
      <c r="B552" s="47"/>
    </row>
    <row r="553" spans="2:2">
      <c r="B553" s="47"/>
    </row>
    <row r="554" spans="2:2">
      <c r="B554" s="47"/>
    </row>
    <row r="555" spans="2:2">
      <c r="B555" s="47"/>
    </row>
    <row r="556" spans="2:2">
      <c r="B556" s="47"/>
    </row>
    <row r="557" spans="2:2">
      <c r="B557" s="47"/>
    </row>
    <row r="558" spans="2:2">
      <c r="B558" s="47"/>
    </row>
    <row r="559" spans="2:2">
      <c r="B559" s="47"/>
    </row>
    <row r="560" spans="2:2">
      <c r="B560" s="47"/>
    </row>
    <row r="561" spans="2:2">
      <c r="B561" s="47"/>
    </row>
    <row r="562" spans="2:2">
      <c r="B562" s="47"/>
    </row>
    <row r="563" spans="2:2">
      <c r="B563" s="47"/>
    </row>
    <row r="564" spans="2:2">
      <c r="B564" s="47"/>
    </row>
    <row r="565" spans="2:2">
      <c r="B565" s="47"/>
    </row>
    <row r="566" spans="2:2">
      <c r="B566" s="47"/>
    </row>
    <row r="567" spans="2:2">
      <c r="B567" s="47"/>
    </row>
    <row r="568" spans="2:2">
      <c r="B568" s="47"/>
    </row>
    <row r="569" spans="2:2">
      <c r="B569" s="47"/>
    </row>
    <row r="570" spans="2:2">
      <c r="B570" s="47"/>
    </row>
    <row r="571" spans="2:2">
      <c r="B571" s="47"/>
    </row>
    <row r="572" spans="2:2">
      <c r="B572" s="47"/>
    </row>
    <row r="573" spans="2:2">
      <c r="B573" s="47"/>
    </row>
    <row r="574" spans="2:2">
      <c r="B574" s="47"/>
    </row>
    <row r="575" spans="2:2">
      <c r="B575" s="47"/>
    </row>
    <row r="576" spans="2:2">
      <c r="B576" s="47"/>
    </row>
    <row r="577" spans="2:2">
      <c r="B577" s="47"/>
    </row>
    <row r="578" spans="2:2">
      <c r="B578" s="47"/>
    </row>
    <row r="579" spans="2:2">
      <c r="B579" s="47"/>
    </row>
    <row r="580" spans="2:2">
      <c r="B580" s="47"/>
    </row>
    <row r="581" spans="2:2">
      <c r="B581" s="47"/>
    </row>
    <row r="582" spans="2:2">
      <c r="B582" s="47"/>
    </row>
  </sheetData>
  <pageMargins left="0.78740157499999996" right="0.78740157499999996" top="0.984251969" bottom="0.984251969" header="0.4921259845" footer="0.492125984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5"/>
  <dimension ref="A1:K155"/>
  <sheetViews>
    <sheetView zoomScale="90" workbookViewId="0">
      <selection activeCell="N152" sqref="N152"/>
    </sheetView>
  </sheetViews>
  <sheetFormatPr baseColWidth="10" defaultColWidth="11.42578125" defaultRowHeight="12.75"/>
  <cols>
    <col min="1" max="1" width="6.140625" style="831" customWidth="1"/>
    <col min="2" max="2" width="23.85546875" style="831" customWidth="1"/>
    <col min="3" max="16384" width="11.42578125" style="831"/>
  </cols>
  <sheetData>
    <row r="1" spans="3:3" s="816" customFormat="1"/>
    <row r="2" spans="3:3" s="816" customFormat="1">
      <c r="C2" s="820" t="s">
        <v>2406</v>
      </c>
    </row>
    <row r="3" spans="3:3" s="816" customFormat="1"/>
    <row r="4" spans="3:3" s="816" customFormat="1">
      <c r="C4" s="816" t="s">
        <v>2439</v>
      </c>
    </row>
    <row r="5" spans="3:3" s="816" customFormat="1">
      <c r="C5" s="816" t="s">
        <v>2440</v>
      </c>
    </row>
    <row r="6" spans="3:3" s="816" customFormat="1">
      <c r="C6" s="816" t="s">
        <v>2441</v>
      </c>
    </row>
    <row r="7" spans="3:3" s="816" customFormat="1">
      <c r="C7" s="816" t="s">
        <v>2442</v>
      </c>
    </row>
    <row r="8" spans="3:3" s="816" customFormat="1">
      <c r="C8" s="816" t="s">
        <v>2443</v>
      </c>
    </row>
    <row r="9" spans="3:3" s="816" customFormat="1">
      <c r="C9" s="816" t="s">
        <v>2444</v>
      </c>
    </row>
    <row r="10" spans="3:3" s="816" customFormat="1"/>
    <row r="11" spans="3:3" s="816" customFormat="1">
      <c r="C11" s="816" t="s">
        <v>2436</v>
      </c>
    </row>
    <row r="12" spans="3:3" s="816" customFormat="1">
      <c r="C12" s="816" t="s">
        <v>2437</v>
      </c>
    </row>
    <row r="13" spans="3:3" s="816" customFormat="1">
      <c r="C13" s="816" t="s">
        <v>2438</v>
      </c>
    </row>
    <row r="14" spans="3:3" s="816" customFormat="1"/>
    <row r="15" spans="3:3" s="816" customFormat="1"/>
    <row r="16" spans="3:3" s="816" customFormat="1"/>
    <row r="17" s="816" customFormat="1"/>
    <row r="18" s="816" customFormat="1"/>
    <row r="19" s="816" customFormat="1"/>
    <row r="20" s="816" customFormat="1"/>
    <row r="21" s="816" customFormat="1"/>
    <row r="22" s="816" customFormat="1"/>
    <row r="23" s="816" customFormat="1"/>
    <row r="24" s="816" customFormat="1"/>
    <row r="25" s="816" customFormat="1"/>
    <row r="26" s="816" customFormat="1"/>
    <row r="27" s="816" customFormat="1"/>
    <row r="28" s="816" customFormat="1"/>
    <row r="29" s="816" customFormat="1"/>
    <row r="30" s="816" customFormat="1"/>
    <row r="31" s="816" customFormat="1"/>
    <row r="32" s="816" customFormat="1"/>
    <row r="33" s="816" customFormat="1"/>
    <row r="34" s="816" customFormat="1"/>
    <row r="35" s="816" customFormat="1"/>
    <row r="36" s="816" customFormat="1"/>
    <row r="37" s="816" customFormat="1"/>
    <row r="38" s="816" customFormat="1"/>
    <row r="39" s="816" customFormat="1"/>
    <row r="40" s="816" customFormat="1"/>
    <row r="41" s="816" customFormat="1"/>
    <row r="42" s="816" customFormat="1"/>
    <row r="43" s="816" customFormat="1"/>
    <row r="44" s="816" customFormat="1"/>
    <row r="45" s="816" customFormat="1"/>
    <row r="46" s="816" customFormat="1"/>
    <row r="47" s="816" customFormat="1"/>
    <row r="48" s="816" customFormat="1"/>
    <row r="49" spans="4:4" s="816" customFormat="1"/>
    <row r="50" spans="4:4" s="816" customFormat="1"/>
    <row r="51" spans="4:4" s="816" customFormat="1"/>
    <row r="52" spans="4:4" s="816" customFormat="1"/>
    <row r="53" spans="4:4" s="816" customFormat="1"/>
    <row r="54" spans="4:4" s="816" customFormat="1"/>
    <row r="55" spans="4:4" s="816" customFormat="1"/>
    <row r="56" spans="4:4" s="816" customFormat="1"/>
    <row r="57" spans="4:4" s="816" customFormat="1"/>
    <row r="58" spans="4:4" s="816" customFormat="1"/>
    <row r="59" spans="4:4" s="816" customFormat="1"/>
    <row r="60" spans="4:4" s="816" customFormat="1"/>
    <row r="61" spans="4:4" s="816" customFormat="1">
      <c r="D61" s="816" t="s">
        <v>2407</v>
      </c>
    </row>
    <row r="62" spans="4:4" s="816" customFormat="1">
      <c r="D62" s="816" t="s">
        <v>2408</v>
      </c>
    </row>
    <row r="63" spans="4:4" s="816" customFormat="1">
      <c r="D63" s="816" t="s">
        <v>2409</v>
      </c>
    </row>
    <row r="64" spans="4:4" s="816" customFormat="1">
      <c r="D64" s="816" t="s">
        <v>2410</v>
      </c>
    </row>
    <row r="65" spans="1:4" s="816" customFormat="1">
      <c r="D65" s="816" t="s">
        <v>2411</v>
      </c>
    </row>
    <row r="66" spans="1:4" s="816" customFormat="1">
      <c r="D66" s="816" t="s">
        <v>2412</v>
      </c>
    </row>
    <row r="67" spans="1:4" s="816" customFormat="1">
      <c r="D67" s="816" t="s">
        <v>2413</v>
      </c>
    </row>
    <row r="68" spans="1:4" s="816" customFormat="1">
      <c r="D68" s="816" t="s">
        <v>2414</v>
      </c>
    </row>
    <row r="69" spans="1:4" s="816" customFormat="1"/>
    <row r="70" spans="1:4" s="816" customFormat="1"/>
    <row r="71" spans="1:4" s="816" customFormat="1">
      <c r="D71" s="816" t="s">
        <v>2415</v>
      </c>
    </row>
    <row r="72" spans="1:4" s="816" customFormat="1">
      <c r="D72" s="816" t="s">
        <v>2416</v>
      </c>
    </row>
    <row r="73" spans="1:4" s="816" customFormat="1">
      <c r="D73" s="816" t="s">
        <v>2417</v>
      </c>
    </row>
    <row r="74" spans="1:4" s="816" customFormat="1">
      <c r="D74" s="816" t="s">
        <v>2418</v>
      </c>
    </row>
    <row r="75" spans="1:4" s="816" customFormat="1"/>
    <row r="76" spans="1:4" s="816" customFormat="1"/>
    <row r="77" spans="1:4" s="816" customFormat="1"/>
    <row r="78" spans="1:4" s="816" customFormat="1"/>
    <row r="79" spans="1:4" s="816" customFormat="1"/>
    <row r="80" spans="1:4" s="816" customFormat="1">
      <c r="A80" s="821">
        <v>1</v>
      </c>
      <c r="B80" s="816" t="s">
        <v>2419</v>
      </c>
    </row>
    <row r="81" spans="1:5" s="816" customFormat="1">
      <c r="A81" s="821"/>
      <c r="B81" s="816" t="s">
        <v>2420</v>
      </c>
    </row>
    <row r="82" spans="1:5" s="816" customFormat="1">
      <c r="A82" s="821"/>
      <c r="B82" s="816" t="s">
        <v>2421</v>
      </c>
    </row>
    <row r="83" spans="1:5" s="816" customFormat="1">
      <c r="A83" s="821"/>
    </row>
    <row r="84" spans="1:5" s="816" customFormat="1">
      <c r="A84" s="821">
        <v>2</v>
      </c>
      <c r="B84" s="816" t="s">
        <v>2422</v>
      </c>
    </row>
    <row r="85" spans="1:5" s="816" customFormat="1">
      <c r="A85" s="821"/>
      <c r="B85" s="816" t="s">
        <v>2423</v>
      </c>
    </row>
    <row r="86" spans="1:5" s="816" customFormat="1">
      <c r="A86" s="821"/>
    </row>
    <row r="87" spans="1:5" s="816" customFormat="1">
      <c r="A87" s="821">
        <v>3</v>
      </c>
      <c r="B87" s="816" t="s">
        <v>2424</v>
      </c>
    </row>
    <row r="88" spans="1:5" s="816" customFormat="1">
      <c r="B88" s="816" t="s">
        <v>2425</v>
      </c>
    </row>
    <row r="89" spans="1:5" s="816" customFormat="1"/>
    <row r="90" spans="1:5" s="816" customFormat="1">
      <c r="B90" s="836" t="s">
        <v>2431</v>
      </c>
    </row>
    <row r="91" spans="1:5" s="816" customFormat="1">
      <c r="B91" s="836" t="s">
        <v>2432</v>
      </c>
    </row>
    <row r="92" spans="1:5" s="827" customFormat="1" ht="18" customHeight="1"/>
    <row r="93" spans="1:5" s="827" customFormat="1">
      <c r="B93" s="828" t="s">
        <v>2193</v>
      </c>
      <c r="C93" s="829">
        <v>57.094757000000001</v>
      </c>
      <c r="D93" s="827" t="s">
        <v>1846</v>
      </c>
    </row>
    <row r="94" spans="1:5" s="827" customFormat="1">
      <c r="B94" s="828" t="s">
        <v>2260</v>
      </c>
      <c r="C94" s="829">
        <v>1.1000000000000001</v>
      </c>
    </row>
    <row r="95" spans="1:5" s="827" customFormat="1">
      <c r="B95" s="828" t="s">
        <v>2261</v>
      </c>
      <c r="C95" s="829">
        <v>1.7</v>
      </c>
      <c r="E95" s="827" t="s">
        <v>2426</v>
      </c>
    </row>
    <row r="96" spans="1:5" s="827" customFormat="1">
      <c r="B96" s="828"/>
    </row>
    <row r="97" spans="2:5" s="827" customFormat="1">
      <c r="B97" s="828" t="s">
        <v>2427</v>
      </c>
      <c r="C97" s="827">
        <f>SIN(RADIANS(C93))</f>
        <v>0.83957015642195909</v>
      </c>
    </row>
    <row r="98" spans="2:5">
      <c r="B98" s="830" t="s">
        <v>2428</v>
      </c>
      <c r="C98" s="831">
        <f>C97*C94/C95</f>
        <v>0.54325127768479708</v>
      </c>
    </row>
    <row r="99" spans="2:5">
      <c r="B99" s="830"/>
    </row>
    <row r="100" spans="2:5">
      <c r="B100" s="830" t="s">
        <v>2397</v>
      </c>
      <c r="C100" s="831">
        <f>DEGREES(ASIN(C98))</f>
        <v>32.905242890744084</v>
      </c>
      <c r="D100" s="831" t="s">
        <v>1846</v>
      </c>
    </row>
    <row r="101" spans="2:5">
      <c r="B101" s="830"/>
    </row>
    <row r="102" spans="2:5">
      <c r="B102" s="833" t="s">
        <v>2429</v>
      </c>
      <c r="C102" s="837">
        <f>C93+C100</f>
        <v>89.999999890744078</v>
      </c>
      <c r="D102" s="834" t="s">
        <v>1846</v>
      </c>
      <c r="E102" s="835" t="s">
        <v>2430</v>
      </c>
    </row>
    <row r="103" spans="2:5">
      <c r="B103" s="830"/>
    </row>
    <row r="105" spans="2:5">
      <c r="B105" s="832" t="s">
        <v>2434</v>
      </c>
    </row>
    <row r="106" spans="2:5">
      <c r="B106" s="832" t="s">
        <v>2435</v>
      </c>
    </row>
    <row r="107" spans="2:5">
      <c r="B107" s="830"/>
    </row>
    <row r="108" spans="2:5">
      <c r="B108" s="828" t="s">
        <v>2260</v>
      </c>
      <c r="C108" s="829">
        <v>1.1000000000000001</v>
      </c>
    </row>
    <row r="109" spans="2:5">
      <c r="B109" s="828" t="s">
        <v>2261</v>
      </c>
      <c r="C109" s="829">
        <v>1.7</v>
      </c>
    </row>
    <row r="111" spans="2:5">
      <c r="B111" s="833" t="s">
        <v>2307</v>
      </c>
      <c r="C111" s="831">
        <f>C109/C108</f>
        <v>1.5454545454545452</v>
      </c>
      <c r="E111" s="834" t="s">
        <v>2433</v>
      </c>
    </row>
    <row r="112" spans="2:5">
      <c r="B112" s="830"/>
    </row>
    <row r="113" spans="2:11">
      <c r="B113" s="830"/>
      <c r="C113" s="831">
        <f>DEGREES(ATAN(C111))</f>
        <v>57.094757077012098</v>
      </c>
      <c r="D113" s="831" t="s">
        <v>1846</v>
      </c>
    </row>
    <row r="114" spans="2:11">
      <c r="B114" s="830"/>
    </row>
    <row r="115" spans="2:11">
      <c r="B115" s="838" t="s">
        <v>2445</v>
      </c>
      <c r="C115" s="831">
        <f>DEGREES(ATAN(C109/C108))</f>
        <v>57.094757077012098</v>
      </c>
      <c r="D115" s="831" t="s">
        <v>1846</v>
      </c>
    </row>
    <row r="117" spans="2:11">
      <c r="B117" s="830"/>
    </row>
    <row r="121" spans="2:11">
      <c r="B121" s="1" t="s">
        <v>2422</v>
      </c>
      <c r="C121" s="1"/>
      <c r="D121" s="1"/>
      <c r="E121" s="1"/>
      <c r="F121" s="1"/>
      <c r="G121" s="1"/>
      <c r="H121" s="1"/>
      <c r="I121" s="1"/>
      <c r="J121" s="1"/>
      <c r="K121" s="1"/>
    </row>
    <row r="122" spans="2:11">
      <c r="B122" s="1" t="s">
        <v>2446</v>
      </c>
      <c r="C122" s="1"/>
      <c r="D122" s="1"/>
      <c r="E122" s="1"/>
      <c r="F122" s="1"/>
      <c r="G122" s="1"/>
      <c r="H122" s="1"/>
      <c r="I122" s="1"/>
      <c r="J122" s="1"/>
      <c r="K122" s="1"/>
    </row>
    <row r="123" spans="2:11">
      <c r="B123" s="1"/>
      <c r="C123" s="1"/>
      <c r="D123" s="1"/>
      <c r="E123" s="1"/>
      <c r="F123" s="1"/>
      <c r="G123" s="1"/>
      <c r="H123" s="1"/>
      <c r="I123" s="1"/>
      <c r="J123" s="1"/>
      <c r="K123" s="1"/>
    </row>
    <row r="124" spans="2:11">
      <c r="B124" s="165" t="s">
        <v>1146</v>
      </c>
      <c r="C124" s="326">
        <v>1.1000000000000001</v>
      </c>
      <c r="D124" s="1"/>
      <c r="E124" s="1"/>
      <c r="F124" s="1"/>
      <c r="G124" s="1"/>
      <c r="H124" s="1"/>
      <c r="I124" s="1"/>
      <c r="J124" s="1"/>
      <c r="K124" s="1"/>
    </row>
    <row r="125" spans="2:11">
      <c r="B125" s="165" t="s">
        <v>2447</v>
      </c>
      <c r="C125" s="326">
        <v>59</v>
      </c>
      <c r="D125" s="1" t="s">
        <v>1846</v>
      </c>
      <c r="E125" s="1"/>
      <c r="F125" s="1"/>
      <c r="G125" s="1"/>
      <c r="H125" s="1"/>
      <c r="I125" s="1"/>
      <c r="J125" s="1"/>
      <c r="K125" s="1"/>
    </row>
    <row r="126" spans="2:11">
      <c r="B126" s="1"/>
      <c r="C126" s="1"/>
      <c r="D126" s="1"/>
      <c r="E126" s="1"/>
      <c r="F126" s="1"/>
      <c r="G126" s="1"/>
      <c r="H126" s="1"/>
      <c r="I126" s="1"/>
      <c r="J126" s="1"/>
      <c r="K126" s="1"/>
    </row>
    <row r="127" spans="2:11">
      <c r="B127" s="165" t="s">
        <v>2448</v>
      </c>
      <c r="C127" s="1">
        <f>90-C125</f>
        <v>31</v>
      </c>
      <c r="D127" s="1" t="s">
        <v>1846</v>
      </c>
      <c r="E127" s="1" t="s">
        <v>2449</v>
      </c>
      <c r="F127" s="1"/>
      <c r="G127" s="1"/>
      <c r="H127" s="1"/>
      <c r="I127" s="1"/>
      <c r="J127" s="1"/>
      <c r="K127" s="1"/>
    </row>
    <row r="128" spans="2:11">
      <c r="B128" s="165" t="s">
        <v>2204</v>
      </c>
      <c r="C128" s="1">
        <f>C127</f>
        <v>31</v>
      </c>
      <c r="D128" s="1" t="s">
        <v>1846</v>
      </c>
      <c r="E128" s="1"/>
      <c r="F128" s="1"/>
      <c r="G128" s="1"/>
      <c r="H128" s="1"/>
      <c r="I128" s="1"/>
      <c r="J128" s="1"/>
      <c r="K128" s="1"/>
    </row>
    <row r="129" spans="2:11">
      <c r="B129" s="165"/>
      <c r="C129" s="1"/>
      <c r="D129" s="1"/>
      <c r="E129" s="1"/>
      <c r="F129" s="1"/>
      <c r="G129" s="1"/>
      <c r="H129" s="1"/>
      <c r="I129" s="1"/>
      <c r="J129" s="1"/>
      <c r="K129" s="1"/>
    </row>
    <row r="130" spans="2:11">
      <c r="B130" s="165" t="s">
        <v>2450</v>
      </c>
      <c r="C130" s="1">
        <f>SIN(RADIANS(C125))</f>
        <v>0.85716730070211233</v>
      </c>
      <c r="D130" s="1"/>
      <c r="E130" s="1"/>
      <c r="F130" s="1"/>
      <c r="G130" s="1"/>
      <c r="H130" s="1"/>
      <c r="I130" s="1"/>
      <c r="J130" s="1"/>
      <c r="K130" s="1"/>
    </row>
    <row r="131" spans="2:11">
      <c r="B131" s="165" t="s">
        <v>2451</v>
      </c>
      <c r="C131" s="1">
        <f>SIN(RADIANS(C128))</f>
        <v>0.51503807491005416</v>
      </c>
      <c r="D131" s="1"/>
      <c r="E131" s="1"/>
      <c r="F131" s="1"/>
      <c r="G131" s="1"/>
      <c r="H131" s="1"/>
      <c r="I131" s="1"/>
      <c r="J131" s="1"/>
      <c r="K131" s="1"/>
    </row>
    <row r="132" spans="2:11">
      <c r="B132" s="165"/>
      <c r="C132" s="1"/>
      <c r="D132" s="1"/>
      <c r="E132" s="1"/>
      <c r="F132" s="1"/>
      <c r="G132" s="1"/>
      <c r="H132" s="1"/>
      <c r="I132" s="1"/>
      <c r="J132" s="1"/>
      <c r="K132" s="1"/>
    </row>
    <row r="133" spans="2:11">
      <c r="B133" s="165" t="s">
        <v>1149</v>
      </c>
      <c r="C133" s="1">
        <f>C130/C131*C124</f>
        <v>1.8307074305855702</v>
      </c>
      <c r="D133" s="1"/>
      <c r="E133" s="1" t="s">
        <v>2452</v>
      </c>
      <c r="F133" s="1"/>
      <c r="G133" s="1"/>
      <c r="H133" s="1"/>
      <c r="I133" s="1"/>
      <c r="J133" s="1"/>
      <c r="K133" s="1"/>
    </row>
    <row r="134" spans="2:11">
      <c r="B134" s="1"/>
      <c r="C134" s="1"/>
      <c r="D134" s="1"/>
      <c r="E134" s="1"/>
      <c r="F134" s="1"/>
      <c r="G134" s="1"/>
      <c r="H134" s="1"/>
      <c r="I134" s="1"/>
      <c r="J134" s="1"/>
      <c r="K134" s="1"/>
    </row>
    <row r="135" spans="2:11">
      <c r="B135" s="226"/>
      <c r="C135" s="11"/>
      <c r="D135" s="11"/>
      <c r="E135" s="11"/>
      <c r="F135" s="11"/>
      <c r="G135" s="226"/>
      <c r="H135" s="11"/>
      <c r="I135" s="11"/>
      <c r="J135" s="11"/>
      <c r="K135" s="11"/>
    </row>
    <row r="136" spans="2:11">
      <c r="B136" s="1"/>
      <c r="C136" s="1"/>
      <c r="D136" s="1"/>
      <c r="E136" s="1"/>
      <c r="F136" s="1"/>
      <c r="G136" s="1"/>
      <c r="H136" s="1"/>
      <c r="I136" s="1"/>
      <c r="J136" s="1"/>
      <c r="K136" s="1"/>
    </row>
    <row r="137" spans="2:11">
      <c r="B137" s="1" t="s">
        <v>2424</v>
      </c>
      <c r="C137" s="1"/>
      <c r="D137" s="1"/>
      <c r="E137" s="1"/>
      <c r="F137" s="1"/>
      <c r="G137" s="1"/>
      <c r="H137" s="1"/>
      <c r="I137" s="1"/>
      <c r="J137" s="1"/>
      <c r="K137" s="1"/>
    </row>
    <row r="138" spans="2:11">
      <c r="B138" s="1" t="s">
        <v>2446</v>
      </c>
      <c r="C138" s="1"/>
      <c r="D138" s="1"/>
      <c r="E138" s="1"/>
      <c r="F138" s="1"/>
      <c r="G138" s="1"/>
      <c r="H138" s="1"/>
      <c r="I138" s="1"/>
      <c r="J138" s="1"/>
      <c r="K138" s="1"/>
    </row>
    <row r="139" spans="2:11">
      <c r="B139" s="1"/>
      <c r="C139" s="1"/>
      <c r="D139" s="1"/>
      <c r="E139" s="1"/>
      <c r="F139" s="1"/>
      <c r="G139" s="1"/>
      <c r="H139" s="1"/>
      <c r="I139" s="1"/>
      <c r="J139" s="1"/>
      <c r="K139" s="1"/>
    </row>
    <row r="140" spans="2:11">
      <c r="B140" s="165" t="s">
        <v>1149</v>
      </c>
      <c r="C140" s="326">
        <v>1.5</v>
      </c>
      <c r="D140" s="1"/>
      <c r="E140" s="1"/>
      <c r="F140" s="1"/>
      <c r="G140" s="1"/>
      <c r="H140" s="1"/>
      <c r="I140" s="1"/>
      <c r="J140" s="1"/>
      <c r="K140" s="1"/>
    </row>
    <row r="141" spans="2:11">
      <c r="B141" s="165" t="s">
        <v>2447</v>
      </c>
      <c r="C141" s="326">
        <v>42</v>
      </c>
      <c r="D141" s="1" t="s">
        <v>1846</v>
      </c>
      <c r="E141" s="1"/>
      <c r="F141" s="1"/>
      <c r="G141" s="1"/>
      <c r="H141" s="1"/>
      <c r="I141" s="1"/>
      <c r="J141" s="1"/>
      <c r="K141" s="1"/>
    </row>
    <row r="142" spans="2:11">
      <c r="B142" s="1"/>
      <c r="C142" s="1"/>
      <c r="D142" s="1"/>
      <c r="E142" s="1"/>
      <c r="F142" s="1"/>
      <c r="G142" s="1"/>
      <c r="H142" s="1"/>
      <c r="I142" s="1"/>
      <c r="J142" s="1"/>
      <c r="K142" s="1"/>
    </row>
    <row r="143" spans="2:11">
      <c r="B143" s="165" t="s">
        <v>2448</v>
      </c>
      <c r="C143" s="1">
        <f>90-C141</f>
        <v>48</v>
      </c>
      <c r="D143" s="1" t="s">
        <v>1846</v>
      </c>
      <c r="E143" s="1" t="s">
        <v>2449</v>
      </c>
      <c r="F143" s="1"/>
      <c r="G143" s="1"/>
      <c r="H143" s="1"/>
      <c r="I143" s="1"/>
      <c r="J143" s="1"/>
      <c r="K143" s="1"/>
    </row>
    <row r="144" spans="2:11">
      <c r="B144" s="165" t="s">
        <v>2204</v>
      </c>
      <c r="C144" s="1">
        <f>C143</f>
        <v>48</v>
      </c>
      <c r="D144" s="1" t="s">
        <v>1846</v>
      </c>
      <c r="E144" s="1"/>
      <c r="F144" s="1"/>
      <c r="G144" s="1"/>
      <c r="H144" s="1"/>
      <c r="I144" s="1"/>
      <c r="J144" s="1"/>
      <c r="K144" s="1"/>
    </row>
    <row r="145" spans="2:11">
      <c r="B145" s="165"/>
      <c r="C145" s="1"/>
      <c r="D145" s="1"/>
      <c r="E145" s="1"/>
      <c r="F145" s="1"/>
      <c r="G145" s="1"/>
      <c r="H145" s="1"/>
      <c r="I145" s="1"/>
      <c r="J145" s="1"/>
      <c r="K145" s="1"/>
    </row>
    <row r="146" spans="2:11">
      <c r="B146" s="165" t="s">
        <v>2450</v>
      </c>
      <c r="C146" s="1">
        <f>SIN(RADIANS(C141))</f>
        <v>0.66913060635885824</v>
      </c>
      <c r="D146" s="1"/>
      <c r="E146" s="1"/>
      <c r="F146" s="1"/>
      <c r="G146" s="1"/>
      <c r="H146" s="1"/>
      <c r="I146" s="1"/>
      <c r="J146" s="1"/>
      <c r="K146" s="1"/>
    </row>
    <row r="147" spans="2:11">
      <c r="B147" s="165" t="s">
        <v>2451</v>
      </c>
      <c r="C147" s="1">
        <f>SIN(RADIANS(C144))</f>
        <v>0.74314482547739424</v>
      </c>
      <c r="D147" s="1"/>
      <c r="E147" s="1"/>
      <c r="F147" s="1"/>
      <c r="G147" s="1"/>
      <c r="H147" s="1"/>
      <c r="I147" s="1"/>
      <c r="J147" s="1"/>
      <c r="K147" s="1"/>
    </row>
    <row r="148" spans="2:11">
      <c r="B148" s="165"/>
      <c r="C148" s="1"/>
      <c r="D148" s="1"/>
      <c r="E148" s="1"/>
      <c r="F148" s="1"/>
      <c r="G148" s="1"/>
      <c r="H148" s="1"/>
      <c r="I148" s="1"/>
      <c r="J148" s="1"/>
      <c r="K148" s="1"/>
    </row>
    <row r="149" spans="2:11">
      <c r="B149" s="165" t="s">
        <v>1146</v>
      </c>
      <c r="C149" s="1">
        <f>C140*C147/C146</f>
        <v>1.6659187722437894</v>
      </c>
      <c r="D149" s="1"/>
      <c r="E149" s="1" t="s">
        <v>2453</v>
      </c>
      <c r="F149" s="1"/>
      <c r="G149" s="1"/>
      <c r="H149" s="1"/>
      <c r="I149" s="1"/>
      <c r="J149" s="1"/>
      <c r="K149" s="1"/>
    </row>
    <row r="150" spans="2:11">
      <c r="B150" s="839"/>
      <c r="C150" s="839"/>
      <c r="D150" s="839"/>
      <c r="E150" s="839"/>
      <c r="F150" s="839"/>
      <c r="G150" s="839"/>
      <c r="H150" s="839"/>
      <c r="I150" s="839"/>
      <c r="J150" s="839"/>
      <c r="K150" s="839"/>
    </row>
    <row r="151" spans="2:11">
      <c r="B151" s="1"/>
      <c r="C151" s="1"/>
      <c r="D151" s="1"/>
      <c r="E151" s="1" t="s">
        <v>2455</v>
      </c>
      <c r="F151" s="1"/>
      <c r="G151" s="1"/>
      <c r="H151" s="1"/>
      <c r="I151" s="1"/>
      <c r="J151" s="1"/>
      <c r="K151" s="1"/>
    </row>
    <row r="152" spans="2:11">
      <c r="B152" s="1"/>
      <c r="C152" s="1"/>
      <c r="D152" s="1"/>
      <c r="E152" s="1" t="s">
        <v>2454</v>
      </c>
      <c r="F152" s="1"/>
      <c r="G152" s="1"/>
      <c r="H152" s="1"/>
      <c r="I152" s="1"/>
      <c r="J152" s="1"/>
      <c r="K152" s="1"/>
    </row>
    <row r="153" spans="2:11">
      <c r="B153" s="1"/>
      <c r="C153" s="1"/>
      <c r="D153" s="1"/>
      <c r="F153" s="1"/>
      <c r="G153" s="1"/>
      <c r="H153" s="1"/>
      <c r="I153" s="1"/>
      <c r="J153" s="1"/>
      <c r="K153" s="1"/>
    </row>
    <row r="154" spans="2:11">
      <c r="B154" s="226"/>
      <c r="C154" s="11"/>
      <c r="D154" s="11"/>
      <c r="E154" s="11"/>
      <c r="F154" s="11"/>
      <c r="G154" s="226"/>
      <c r="H154" s="11"/>
      <c r="I154" s="11"/>
      <c r="J154" s="11"/>
      <c r="K154" s="11"/>
    </row>
    <row r="155" spans="2:11">
      <c r="B155" s="1"/>
      <c r="C155" s="1"/>
      <c r="D155" s="1"/>
      <c r="E155" s="1"/>
      <c r="F155" s="1"/>
      <c r="G155" s="1"/>
      <c r="H155" s="1"/>
      <c r="I155" s="1"/>
      <c r="J155" s="1"/>
      <c r="K155" s="1"/>
    </row>
  </sheetData>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2:CC28"/>
  <sheetViews>
    <sheetView workbookViewId="0">
      <selection activeCell="T31" sqref="T31"/>
    </sheetView>
  </sheetViews>
  <sheetFormatPr baseColWidth="10" defaultColWidth="10.28515625" defaultRowHeight="12.75"/>
  <cols>
    <col min="1" max="1" width="15.5703125" style="774" customWidth="1"/>
    <col min="2" max="76" width="7.85546875" style="774" customWidth="1"/>
    <col min="77" max="16384" width="10.28515625" style="774"/>
  </cols>
  <sheetData>
    <row r="2" spans="1:74" ht="13.5" thickBot="1"/>
    <row r="3" spans="1:74" ht="13.5" thickBot="1">
      <c r="A3" s="774" t="s">
        <v>2103</v>
      </c>
      <c r="B3" s="775">
        <v>10</v>
      </c>
    </row>
    <row r="4" spans="1:74" s="776" customFormat="1"/>
    <row r="5" spans="1:74">
      <c r="A5" s="774" t="s">
        <v>2104</v>
      </c>
      <c r="B5" s="774">
        <v>0</v>
      </c>
      <c r="C5" s="774">
        <f t="shared" ref="C5:BN5" si="0">B5+$B$3</f>
        <v>10</v>
      </c>
      <c r="D5" s="774">
        <f t="shared" si="0"/>
        <v>20</v>
      </c>
      <c r="E5" s="774">
        <f t="shared" si="0"/>
        <v>30</v>
      </c>
      <c r="F5" s="774">
        <f t="shared" si="0"/>
        <v>40</v>
      </c>
      <c r="G5" s="774">
        <f t="shared" si="0"/>
        <v>50</v>
      </c>
      <c r="H5" s="774">
        <f t="shared" si="0"/>
        <v>60</v>
      </c>
      <c r="I5" s="774">
        <f t="shared" si="0"/>
        <v>70</v>
      </c>
      <c r="J5" s="774">
        <f t="shared" si="0"/>
        <v>80</v>
      </c>
      <c r="K5" s="774">
        <f t="shared" si="0"/>
        <v>90</v>
      </c>
      <c r="L5" s="774">
        <f t="shared" si="0"/>
        <v>100</v>
      </c>
      <c r="M5" s="774">
        <f t="shared" si="0"/>
        <v>110</v>
      </c>
      <c r="N5" s="774">
        <f t="shared" si="0"/>
        <v>120</v>
      </c>
      <c r="O5" s="774">
        <f t="shared" si="0"/>
        <v>130</v>
      </c>
      <c r="P5" s="774">
        <f t="shared" si="0"/>
        <v>140</v>
      </c>
      <c r="Q5" s="774">
        <f t="shared" si="0"/>
        <v>150</v>
      </c>
      <c r="R5" s="774">
        <f t="shared" si="0"/>
        <v>160</v>
      </c>
      <c r="S5" s="774">
        <f t="shared" si="0"/>
        <v>170</v>
      </c>
      <c r="T5" s="774">
        <f t="shared" si="0"/>
        <v>180</v>
      </c>
      <c r="U5" s="774">
        <f t="shared" si="0"/>
        <v>190</v>
      </c>
      <c r="V5" s="774">
        <f t="shared" si="0"/>
        <v>200</v>
      </c>
      <c r="W5" s="774">
        <f t="shared" si="0"/>
        <v>210</v>
      </c>
      <c r="X5" s="774">
        <f t="shared" si="0"/>
        <v>220</v>
      </c>
      <c r="Y5" s="774">
        <f t="shared" si="0"/>
        <v>230</v>
      </c>
      <c r="Z5" s="774">
        <f t="shared" si="0"/>
        <v>240</v>
      </c>
      <c r="AA5" s="774">
        <f t="shared" si="0"/>
        <v>250</v>
      </c>
      <c r="AB5" s="774">
        <f t="shared" si="0"/>
        <v>260</v>
      </c>
      <c r="AC5" s="774">
        <f t="shared" si="0"/>
        <v>270</v>
      </c>
      <c r="AD5" s="774">
        <f t="shared" si="0"/>
        <v>280</v>
      </c>
      <c r="AE5" s="774">
        <f t="shared" si="0"/>
        <v>290</v>
      </c>
      <c r="AF5" s="774">
        <f t="shared" si="0"/>
        <v>300</v>
      </c>
      <c r="AG5" s="774">
        <f t="shared" si="0"/>
        <v>310</v>
      </c>
      <c r="AH5" s="774">
        <f t="shared" si="0"/>
        <v>320</v>
      </c>
      <c r="AI5" s="774">
        <f t="shared" si="0"/>
        <v>330</v>
      </c>
      <c r="AJ5" s="774">
        <f t="shared" si="0"/>
        <v>340</v>
      </c>
      <c r="AK5" s="774">
        <f t="shared" si="0"/>
        <v>350</v>
      </c>
      <c r="AL5" s="774">
        <f t="shared" si="0"/>
        <v>360</v>
      </c>
      <c r="AM5" s="774">
        <f t="shared" si="0"/>
        <v>370</v>
      </c>
      <c r="AN5" s="774">
        <f t="shared" si="0"/>
        <v>380</v>
      </c>
      <c r="AO5" s="774">
        <f t="shared" si="0"/>
        <v>390</v>
      </c>
      <c r="AP5" s="774">
        <f t="shared" si="0"/>
        <v>400</v>
      </c>
      <c r="AQ5" s="774">
        <f t="shared" si="0"/>
        <v>410</v>
      </c>
      <c r="AR5" s="774">
        <f t="shared" si="0"/>
        <v>420</v>
      </c>
      <c r="AS5" s="774">
        <f t="shared" si="0"/>
        <v>430</v>
      </c>
      <c r="AT5" s="774">
        <f t="shared" si="0"/>
        <v>440</v>
      </c>
      <c r="AU5" s="774">
        <f t="shared" si="0"/>
        <v>450</v>
      </c>
      <c r="AV5" s="774">
        <f t="shared" si="0"/>
        <v>460</v>
      </c>
      <c r="AW5" s="774">
        <f t="shared" si="0"/>
        <v>470</v>
      </c>
      <c r="AX5" s="774">
        <f t="shared" si="0"/>
        <v>480</v>
      </c>
      <c r="AY5" s="774">
        <f t="shared" si="0"/>
        <v>490</v>
      </c>
      <c r="AZ5" s="774">
        <f t="shared" si="0"/>
        <v>500</v>
      </c>
      <c r="BA5" s="774">
        <f t="shared" si="0"/>
        <v>510</v>
      </c>
      <c r="BB5" s="774">
        <f t="shared" si="0"/>
        <v>520</v>
      </c>
      <c r="BC5" s="774">
        <f t="shared" si="0"/>
        <v>530</v>
      </c>
      <c r="BD5" s="774">
        <f t="shared" si="0"/>
        <v>540</v>
      </c>
      <c r="BE5" s="774">
        <f t="shared" si="0"/>
        <v>550</v>
      </c>
      <c r="BF5" s="774">
        <f t="shared" si="0"/>
        <v>560</v>
      </c>
      <c r="BG5" s="774">
        <f t="shared" si="0"/>
        <v>570</v>
      </c>
      <c r="BH5" s="774">
        <f t="shared" si="0"/>
        <v>580</v>
      </c>
      <c r="BI5" s="774">
        <f t="shared" si="0"/>
        <v>590</v>
      </c>
      <c r="BJ5" s="774">
        <f t="shared" si="0"/>
        <v>600</v>
      </c>
      <c r="BK5" s="774">
        <f t="shared" si="0"/>
        <v>610</v>
      </c>
      <c r="BL5" s="774">
        <f t="shared" si="0"/>
        <v>620</v>
      </c>
      <c r="BM5" s="774">
        <f t="shared" si="0"/>
        <v>630</v>
      </c>
      <c r="BN5" s="774">
        <f t="shared" si="0"/>
        <v>640</v>
      </c>
      <c r="BO5" s="774">
        <f t="shared" ref="BO5:BV5" si="1">BN5+$B$3</f>
        <v>650</v>
      </c>
      <c r="BP5" s="774">
        <f t="shared" si="1"/>
        <v>660</v>
      </c>
      <c r="BQ5" s="774">
        <f t="shared" si="1"/>
        <v>670</v>
      </c>
      <c r="BR5" s="774">
        <f t="shared" si="1"/>
        <v>680</v>
      </c>
      <c r="BS5" s="774">
        <f t="shared" si="1"/>
        <v>690</v>
      </c>
      <c r="BT5" s="774">
        <f t="shared" si="1"/>
        <v>700</v>
      </c>
      <c r="BU5" s="774">
        <f t="shared" si="1"/>
        <v>710</v>
      </c>
      <c r="BV5" s="774">
        <f t="shared" si="1"/>
        <v>720</v>
      </c>
    </row>
    <row r="6" spans="1:74" s="777" customFormat="1">
      <c r="A6" s="777" t="s">
        <v>2105</v>
      </c>
      <c r="B6" s="777">
        <f t="shared" ref="B6:BM6" si="2">B5/360</f>
        <v>0</v>
      </c>
      <c r="C6" s="777">
        <f t="shared" si="2"/>
        <v>2.7777777777777776E-2</v>
      </c>
      <c r="D6" s="777">
        <f t="shared" si="2"/>
        <v>5.5555555555555552E-2</v>
      </c>
      <c r="E6" s="777">
        <f t="shared" si="2"/>
        <v>8.3333333333333329E-2</v>
      </c>
      <c r="F6" s="777">
        <f t="shared" si="2"/>
        <v>0.1111111111111111</v>
      </c>
      <c r="G6" s="777">
        <f t="shared" si="2"/>
        <v>0.1388888888888889</v>
      </c>
      <c r="H6" s="777">
        <f t="shared" si="2"/>
        <v>0.16666666666666666</v>
      </c>
      <c r="I6" s="777">
        <f t="shared" si="2"/>
        <v>0.19444444444444445</v>
      </c>
      <c r="J6" s="777">
        <f t="shared" si="2"/>
        <v>0.22222222222222221</v>
      </c>
      <c r="K6" s="777">
        <f t="shared" si="2"/>
        <v>0.25</v>
      </c>
      <c r="L6" s="777">
        <f t="shared" si="2"/>
        <v>0.27777777777777779</v>
      </c>
      <c r="M6" s="777">
        <f t="shared" si="2"/>
        <v>0.30555555555555558</v>
      </c>
      <c r="N6" s="777">
        <f t="shared" si="2"/>
        <v>0.33333333333333331</v>
      </c>
      <c r="O6" s="777">
        <f t="shared" si="2"/>
        <v>0.3611111111111111</v>
      </c>
      <c r="P6" s="777">
        <f t="shared" si="2"/>
        <v>0.3888888888888889</v>
      </c>
      <c r="Q6" s="777">
        <f t="shared" si="2"/>
        <v>0.41666666666666669</v>
      </c>
      <c r="R6" s="777">
        <f t="shared" si="2"/>
        <v>0.44444444444444442</v>
      </c>
      <c r="S6" s="777">
        <f t="shared" si="2"/>
        <v>0.47222222222222221</v>
      </c>
      <c r="T6" s="777">
        <f t="shared" si="2"/>
        <v>0.5</v>
      </c>
      <c r="U6" s="777">
        <f t="shared" si="2"/>
        <v>0.52777777777777779</v>
      </c>
      <c r="V6" s="777">
        <f t="shared" si="2"/>
        <v>0.55555555555555558</v>
      </c>
      <c r="W6" s="777">
        <f t="shared" si="2"/>
        <v>0.58333333333333337</v>
      </c>
      <c r="X6" s="777">
        <f t="shared" si="2"/>
        <v>0.61111111111111116</v>
      </c>
      <c r="Y6" s="777">
        <f t="shared" si="2"/>
        <v>0.63888888888888884</v>
      </c>
      <c r="Z6" s="777">
        <f t="shared" si="2"/>
        <v>0.66666666666666663</v>
      </c>
      <c r="AA6" s="777">
        <f t="shared" si="2"/>
        <v>0.69444444444444442</v>
      </c>
      <c r="AB6" s="777">
        <f t="shared" si="2"/>
        <v>0.72222222222222221</v>
      </c>
      <c r="AC6" s="777">
        <f t="shared" si="2"/>
        <v>0.75</v>
      </c>
      <c r="AD6" s="777">
        <f t="shared" si="2"/>
        <v>0.77777777777777779</v>
      </c>
      <c r="AE6" s="777">
        <f t="shared" si="2"/>
        <v>0.80555555555555558</v>
      </c>
      <c r="AF6" s="777">
        <f t="shared" si="2"/>
        <v>0.83333333333333337</v>
      </c>
      <c r="AG6" s="777">
        <f t="shared" si="2"/>
        <v>0.86111111111111116</v>
      </c>
      <c r="AH6" s="777">
        <f t="shared" si="2"/>
        <v>0.88888888888888884</v>
      </c>
      <c r="AI6" s="777">
        <f t="shared" si="2"/>
        <v>0.91666666666666663</v>
      </c>
      <c r="AJ6" s="777">
        <f t="shared" si="2"/>
        <v>0.94444444444444442</v>
      </c>
      <c r="AK6" s="777">
        <f t="shared" si="2"/>
        <v>0.97222222222222221</v>
      </c>
      <c r="AL6" s="777">
        <f t="shared" si="2"/>
        <v>1</v>
      </c>
      <c r="AM6" s="777">
        <f t="shared" si="2"/>
        <v>1.0277777777777777</v>
      </c>
      <c r="AN6" s="777">
        <f t="shared" si="2"/>
        <v>1.0555555555555556</v>
      </c>
      <c r="AO6" s="777">
        <f t="shared" si="2"/>
        <v>1.0833333333333333</v>
      </c>
      <c r="AP6" s="777">
        <f t="shared" si="2"/>
        <v>1.1111111111111112</v>
      </c>
      <c r="AQ6" s="777">
        <f t="shared" si="2"/>
        <v>1.1388888888888888</v>
      </c>
      <c r="AR6" s="777">
        <f t="shared" si="2"/>
        <v>1.1666666666666667</v>
      </c>
      <c r="AS6" s="777">
        <f t="shared" si="2"/>
        <v>1.1944444444444444</v>
      </c>
      <c r="AT6" s="777">
        <f t="shared" si="2"/>
        <v>1.2222222222222223</v>
      </c>
      <c r="AU6" s="777">
        <f t="shared" si="2"/>
        <v>1.25</v>
      </c>
      <c r="AV6" s="777">
        <f t="shared" si="2"/>
        <v>1.2777777777777777</v>
      </c>
      <c r="AW6" s="777">
        <f t="shared" si="2"/>
        <v>1.3055555555555556</v>
      </c>
      <c r="AX6" s="777">
        <f t="shared" si="2"/>
        <v>1.3333333333333333</v>
      </c>
      <c r="AY6" s="777">
        <f t="shared" si="2"/>
        <v>1.3611111111111112</v>
      </c>
      <c r="AZ6" s="777">
        <f t="shared" si="2"/>
        <v>1.3888888888888888</v>
      </c>
      <c r="BA6" s="777">
        <f t="shared" si="2"/>
        <v>1.4166666666666667</v>
      </c>
      <c r="BB6" s="777">
        <f t="shared" si="2"/>
        <v>1.4444444444444444</v>
      </c>
      <c r="BC6" s="777">
        <f t="shared" si="2"/>
        <v>1.4722222222222223</v>
      </c>
      <c r="BD6" s="777">
        <f t="shared" si="2"/>
        <v>1.5</v>
      </c>
      <c r="BE6" s="777">
        <f t="shared" si="2"/>
        <v>1.5277777777777777</v>
      </c>
      <c r="BF6" s="777">
        <f t="shared" si="2"/>
        <v>1.5555555555555556</v>
      </c>
      <c r="BG6" s="777">
        <f t="shared" si="2"/>
        <v>1.5833333333333333</v>
      </c>
      <c r="BH6" s="777">
        <f t="shared" si="2"/>
        <v>1.6111111111111112</v>
      </c>
      <c r="BI6" s="777">
        <f t="shared" si="2"/>
        <v>1.6388888888888888</v>
      </c>
      <c r="BJ6" s="777">
        <f t="shared" si="2"/>
        <v>1.6666666666666667</v>
      </c>
      <c r="BK6" s="777">
        <f t="shared" si="2"/>
        <v>1.6944444444444444</v>
      </c>
      <c r="BL6" s="777">
        <f t="shared" si="2"/>
        <v>1.7222222222222223</v>
      </c>
      <c r="BM6" s="777">
        <f t="shared" si="2"/>
        <v>1.75</v>
      </c>
      <c r="BN6" s="777">
        <f t="shared" ref="BN6:BV6" si="3">BN5/360</f>
        <v>1.7777777777777777</v>
      </c>
      <c r="BO6" s="777">
        <f t="shared" si="3"/>
        <v>1.8055555555555556</v>
      </c>
      <c r="BP6" s="777">
        <f t="shared" si="3"/>
        <v>1.8333333333333333</v>
      </c>
      <c r="BQ6" s="777">
        <f t="shared" si="3"/>
        <v>1.8611111111111112</v>
      </c>
      <c r="BR6" s="777">
        <f t="shared" si="3"/>
        <v>1.8888888888888888</v>
      </c>
      <c r="BS6" s="777">
        <f t="shared" si="3"/>
        <v>1.9166666666666667</v>
      </c>
      <c r="BT6" s="777">
        <f t="shared" si="3"/>
        <v>1.9444444444444444</v>
      </c>
      <c r="BU6" s="777">
        <f t="shared" si="3"/>
        <v>1.9722222222222223</v>
      </c>
      <c r="BV6" s="777">
        <f t="shared" si="3"/>
        <v>2</v>
      </c>
    </row>
    <row r="7" spans="1:74" s="777" customFormat="1">
      <c r="A7" s="777" t="s">
        <v>2106</v>
      </c>
      <c r="B7" s="777">
        <f t="shared" ref="B7:BM7" si="4">2*PI()*B6</f>
        <v>0</v>
      </c>
      <c r="C7" s="777">
        <f t="shared" si="4"/>
        <v>0.17453292519943295</v>
      </c>
      <c r="D7" s="777">
        <f t="shared" si="4"/>
        <v>0.3490658503988659</v>
      </c>
      <c r="E7" s="777">
        <f t="shared" si="4"/>
        <v>0.52359877559829882</v>
      </c>
      <c r="F7" s="777">
        <f t="shared" si="4"/>
        <v>0.69813170079773179</v>
      </c>
      <c r="G7" s="777">
        <f t="shared" si="4"/>
        <v>0.87266462599716477</v>
      </c>
      <c r="H7" s="777">
        <f t="shared" si="4"/>
        <v>1.0471975511965976</v>
      </c>
      <c r="I7" s="777">
        <f t="shared" si="4"/>
        <v>1.2217304763960306</v>
      </c>
      <c r="J7" s="777">
        <f t="shared" si="4"/>
        <v>1.3962634015954636</v>
      </c>
      <c r="K7" s="777">
        <f t="shared" si="4"/>
        <v>1.5707963267948966</v>
      </c>
      <c r="L7" s="777">
        <f t="shared" si="4"/>
        <v>1.7453292519943295</v>
      </c>
      <c r="M7" s="777">
        <f t="shared" si="4"/>
        <v>1.9198621771937625</v>
      </c>
      <c r="N7" s="777">
        <f t="shared" si="4"/>
        <v>2.0943951023931953</v>
      </c>
      <c r="O7" s="777">
        <f t="shared" si="4"/>
        <v>2.2689280275926285</v>
      </c>
      <c r="P7" s="777">
        <f t="shared" si="4"/>
        <v>2.4434609527920612</v>
      </c>
      <c r="Q7" s="777">
        <f t="shared" si="4"/>
        <v>2.6179938779914944</v>
      </c>
      <c r="R7" s="777">
        <f t="shared" si="4"/>
        <v>2.7925268031909272</v>
      </c>
      <c r="S7" s="777">
        <f t="shared" si="4"/>
        <v>2.9670597283903599</v>
      </c>
      <c r="T7" s="777">
        <f t="shared" si="4"/>
        <v>3.1415926535897931</v>
      </c>
      <c r="U7" s="777">
        <f t="shared" si="4"/>
        <v>3.3161255787892263</v>
      </c>
      <c r="V7" s="777">
        <f t="shared" si="4"/>
        <v>3.4906585039886591</v>
      </c>
      <c r="W7" s="777">
        <f t="shared" si="4"/>
        <v>3.6651914291880923</v>
      </c>
      <c r="X7" s="777">
        <f t="shared" si="4"/>
        <v>3.839724354387525</v>
      </c>
      <c r="Y7" s="777">
        <f t="shared" si="4"/>
        <v>4.0142572795869578</v>
      </c>
      <c r="Z7" s="777">
        <f t="shared" si="4"/>
        <v>4.1887902047863905</v>
      </c>
      <c r="AA7" s="777">
        <f t="shared" si="4"/>
        <v>4.3633231299858233</v>
      </c>
      <c r="AB7" s="777">
        <f t="shared" si="4"/>
        <v>4.5378560551852569</v>
      </c>
      <c r="AC7" s="777">
        <f t="shared" si="4"/>
        <v>4.7123889803846897</v>
      </c>
      <c r="AD7" s="777">
        <f t="shared" si="4"/>
        <v>4.8869219055841224</v>
      </c>
      <c r="AE7" s="777">
        <f t="shared" si="4"/>
        <v>5.0614548307835561</v>
      </c>
      <c r="AF7" s="777">
        <f t="shared" si="4"/>
        <v>5.2359877559829888</v>
      </c>
      <c r="AG7" s="777">
        <f t="shared" si="4"/>
        <v>5.4105206811824216</v>
      </c>
      <c r="AH7" s="777">
        <f t="shared" si="4"/>
        <v>5.5850536063818543</v>
      </c>
      <c r="AI7" s="777">
        <f t="shared" si="4"/>
        <v>5.7595865315812871</v>
      </c>
      <c r="AJ7" s="777">
        <f t="shared" si="4"/>
        <v>5.9341194567807198</v>
      </c>
      <c r="AK7" s="777">
        <f t="shared" si="4"/>
        <v>6.1086523819801535</v>
      </c>
      <c r="AL7" s="777">
        <f t="shared" si="4"/>
        <v>6.2831853071795862</v>
      </c>
      <c r="AM7" s="777">
        <f t="shared" si="4"/>
        <v>6.457718232379019</v>
      </c>
      <c r="AN7" s="777">
        <f t="shared" si="4"/>
        <v>6.6322511575784526</v>
      </c>
      <c r="AO7" s="777">
        <f t="shared" si="4"/>
        <v>6.8067840827778845</v>
      </c>
      <c r="AP7" s="777">
        <f t="shared" si="4"/>
        <v>6.9813170079773181</v>
      </c>
      <c r="AQ7" s="777">
        <f t="shared" si="4"/>
        <v>7.1558499331767509</v>
      </c>
      <c r="AR7" s="777">
        <f t="shared" si="4"/>
        <v>7.3303828583761845</v>
      </c>
      <c r="AS7" s="777">
        <f t="shared" si="4"/>
        <v>7.5049157835756164</v>
      </c>
      <c r="AT7" s="777">
        <f t="shared" si="4"/>
        <v>7.67944870877505</v>
      </c>
      <c r="AU7" s="777">
        <f t="shared" si="4"/>
        <v>7.8539816339744828</v>
      </c>
      <c r="AV7" s="777">
        <f t="shared" si="4"/>
        <v>8.0285145591739155</v>
      </c>
      <c r="AW7" s="777">
        <f t="shared" si="4"/>
        <v>8.2030474843733483</v>
      </c>
      <c r="AX7" s="777">
        <f t="shared" si="4"/>
        <v>8.3775804095727811</v>
      </c>
      <c r="AY7" s="777">
        <f t="shared" si="4"/>
        <v>8.5521133347722156</v>
      </c>
      <c r="AZ7" s="777">
        <f t="shared" si="4"/>
        <v>8.7266462599716466</v>
      </c>
      <c r="BA7" s="777">
        <f t="shared" si="4"/>
        <v>8.9011791851710811</v>
      </c>
      <c r="BB7" s="777">
        <f t="shared" si="4"/>
        <v>9.0757121103705138</v>
      </c>
      <c r="BC7" s="777">
        <f t="shared" si="4"/>
        <v>9.2502450355699466</v>
      </c>
      <c r="BD7" s="777">
        <f t="shared" si="4"/>
        <v>9.4247779607693793</v>
      </c>
      <c r="BE7" s="777">
        <f t="shared" si="4"/>
        <v>9.5993108859688121</v>
      </c>
      <c r="BF7" s="777">
        <f t="shared" si="4"/>
        <v>9.7738438111682449</v>
      </c>
      <c r="BG7" s="777">
        <f t="shared" si="4"/>
        <v>9.9483767363676776</v>
      </c>
      <c r="BH7" s="777">
        <f t="shared" si="4"/>
        <v>10.122909661567112</v>
      </c>
      <c r="BI7" s="777">
        <f t="shared" si="4"/>
        <v>10.297442586766543</v>
      </c>
      <c r="BJ7" s="777">
        <f t="shared" si="4"/>
        <v>10.471975511965978</v>
      </c>
      <c r="BK7" s="777">
        <f t="shared" si="4"/>
        <v>10.64650843716541</v>
      </c>
      <c r="BL7" s="777">
        <f t="shared" si="4"/>
        <v>10.821041362364843</v>
      </c>
      <c r="BM7" s="777">
        <f t="shared" si="4"/>
        <v>10.995574287564276</v>
      </c>
      <c r="BN7" s="777">
        <f t="shared" ref="BN7:BV7" si="5">2*PI()*BN6</f>
        <v>11.170107212763709</v>
      </c>
      <c r="BO7" s="777">
        <f t="shared" si="5"/>
        <v>11.344640137963141</v>
      </c>
      <c r="BP7" s="777">
        <f t="shared" si="5"/>
        <v>11.519173063162574</v>
      </c>
      <c r="BQ7" s="777">
        <f t="shared" si="5"/>
        <v>11.693705988362009</v>
      </c>
      <c r="BR7" s="777">
        <f t="shared" si="5"/>
        <v>11.86823891356144</v>
      </c>
      <c r="BS7" s="777">
        <f t="shared" si="5"/>
        <v>12.042771838760874</v>
      </c>
      <c r="BT7" s="777">
        <f t="shared" si="5"/>
        <v>12.217304763960307</v>
      </c>
      <c r="BU7" s="777">
        <f t="shared" si="5"/>
        <v>12.39183768915974</v>
      </c>
      <c r="BV7" s="777">
        <f t="shared" si="5"/>
        <v>12.566370614359172</v>
      </c>
    </row>
    <row r="8" spans="1:74" s="778" customFormat="1">
      <c r="A8" s="774" t="s">
        <v>2107</v>
      </c>
      <c r="B8" s="777">
        <f t="shared" ref="B8:P8" si="6">RADIANS(B5)</f>
        <v>0</v>
      </c>
      <c r="C8" s="777">
        <f t="shared" si="6"/>
        <v>0.17453292519943295</v>
      </c>
      <c r="D8" s="777">
        <f t="shared" si="6"/>
        <v>0.3490658503988659</v>
      </c>
      <c r="E8" s="777">
        <f t="shared" si="6"/>
        <v>0.52359877559829882</v>
      </c>
      <c r="F8" s="777">
        <f t="shared" si="6"/>
        <v>0.69813170079773179</v>
      </c>
      <c r="G8" s="777">
        <f t="shared" si="6"/>
        <v>0.87266462599716477</v>
      </c>
      <c r="H8" s="777">
        <f t="shared" si="6"/>
        <v>1.0471975511965976</v>
      </c>
      <c r="I8" s="777">
        <f t="shared" si="6"/>
        <v>1.2217304763960306</v>
      </c>
      <c r="J8" s="777">
        <f t="shared" si="6"/>
        <v>1.3962634015954636</v>
      </c>
      <c r="K8" s="777">
        <f t="shared" si="6"/>
        <v>1.5707963267948966</v>
      </c>
      <c r="L8" s="777">
        <f t="shared" si="6"/>
        <v>1.7453292519943295</v>
      </c>
      <c r="M8" s="777">
        <f t="shared" si="6"/>
        <v>1.9198621771937625</v>
      </c>
      <c r="N8" s="777">
        <f t="shared" si="6"/>
        <v>2.0943951023931953</v>
      </c>
      <c r="O8" s="777">
        <f t="shared" si="6"/>
        <v>2.2689280275926285</v>
      </c>
      <c r="P8" s="777">
        <f t="shared" si="6"/>
        <v>2.4434609527920612</v>
      </c>
    </row>
    <row r="9" spans="1:74" s="778" customFormat="1">
      <c r="A9" s="774" t="s">
        <v>2108</v>
      </c>
      <c r="B9" s="778">
        <f t="shared" ref="B9:BM9" si="7">SIN(B7)</f>
        <v>0</v>
      </c>
      <c r="C9" s="778">
        <f t="shared" si="7"/>
        <v>0.17364817766693033</v>
      </c>
      <c r="D9" s="778">
        <f t="shared" si="7"/>
        <v>0.34202014332566871</v>
      </c>
      <c r="E9" s="778">
        <f t="shared" si="7"/>
        <v>0.49999999999999994</v>
      </c>
      <c r="F9" s="778">
        <f t="shared" si="7"/>
        <v>0.64278760968653925</v>
      </c>
      <c r="G9" s="778">
        <f t="shared" si="7"/>
        <v>0.76604444311897801</v>
      </c>
      <c r="H9" s="778">
        <f t="shared" si="7"/>
        <v>0.8660254037844386</v>
      </c>
      <c r="I9" s="778">
        <f t="shared" si="7"/>
        <v>0.93969262078590832</v>
      </c>
      <c r="J9" s="778">
        <f t="shared" si="7"/>
        <v>0.98480775301220802</v>
      </c>
      <c r="K9" s="778">
        <f t="shared" si="7"/>
        <v>1</v>
      </c>
      <c r="L9" s="778">
        <f t="shared" si="7"/>
        <v>0.98480775301220802</v>
      </c>
      <c r="M9" s="778">
        <f t="shared" si="7"/>
        <v>0.93969262078590843</v>
      </c>
      <c r="N9" s="778">
        <f t="shared" si="7"/>
        <v>0.86602540378443871</v>
      </c>
      <c r="O9" s="778">
        <f t="shared" si="7"/>
        <v>0.76604444311897801</v>
      </c>
      <c r="P9" s="778">
        <f t="shared" si="7"/>
        <v>0.64278760968653947</v>
      </c>
      <c r="Q9" s="778">
        <f t="shared" si="7"/>
        <v>0.49999999999999994</v>
      </c>
      <c r="R9" s="778">
        <f t="shared" si="7"/>
        <v>0.34202014332566888</v>
      </c>
      <c r="S9" s="778">
        <f t="shared" si="7"/>
        <v>0.17364817766693069</v>
      </c>
      <c r="T9" s="778">
        <f t="shared" si="7"/>
        <v>1.22514845490862E-16</v>
      </c>
      <c r="U9" s="778">
        <f t="shared" si="7"/>
        <v>-0.17364817766693047</v>
      </c>
      <c r="V9" s="778">
        <f t="shared" si="7"/>
        <v>-0.34202014332566866</v>
      </c>
      <c r="W9" s="778">
        <f t="shared" si="7"/>
        <v>-0.50000000000000011</v>
      </c>
      <c r="X9" s="778">
        <f t="shared" si="7"/>
        <v>-0.64278760968653925</v>
      </c>
      <c r="Y9" s="778">
        <f t="shared" si="7"/>
        <v>-0.7660444431189779</v>
      </c>
      <c r="Z9" s="778">
        <f t="shared" si="7"/>
        <v>-0.86602540378443837</v>
      </c>
      <c r="AA9" s="778">
        <f t="shared" si="7"/>
        <v>-0.93969262078590821</v>
      </c>
      <c r="AB9" s="778">
        <f t="shared" si="7"/>
        <v>-0.98480775301220802</v>
      </c>
      <c r="AC9" s="778">
        <f t="shared" si="7"/>
        <v>-1</v>
      </c>
      <c r="AD9" s="778">
        <f t="shared" si="7"/>
        <v>-0.98480775301220813</v>
      </c>
      <c r="AE9" s="778">
        <f t="shared" si="7"/>
        <v>-0.93969262078590832</v>
      </c>
      <c r="AF9" s="778">
        <f t="shared" si="7"/>
        <v>-0.8660254037844386</v>
      </c>
      <c r="AG9" s="778">
        <f t="shared" si="7"/>
        <v>-0.76604444311897812</v>
      </c>
      <c r="AH9" s="778">
        <f t="shared" si="7"/>
        <v>-0.64278760968653958</v>
      </c>
      <c r="AI9" s="778">
        <f t="shared" si="7"/>
        <v>-0.50000000000000044</v>
      </c>
      <c r="AJ9" s="778">
        <f t="shared" si="7"/>
        <v>-0.34202014332566943</v>
      </c>
      <c r="AK9" s="778">
        <f t="shared" si="7"/>
        <v>-0.17364817766693039</v>
      </c>
      <c r="AL9" s="778">
        <f t="shared" si="7"/>
        <v>-2.45029690981724E-16</v>
      </c>
      <c r="AM9" s="778">
        <f t="shared" si="7"/>
        <v>0.17364817766692991</v>
      </c>
      <c r="AN9" s="778">
        <f t="shared" si="7"/>
        <v>0.34202014332566893</v>
      </c>
      <c r="AO9" s="778">
        <f t="shared" si="7"/>
        <v>0.49999999999999928</v>
      </c>
      <c r="AP9" s="778">
        <f t="shared" si="7"/>
        <v>0.64278760968653914</v>
      </c>
      <c r="AQ9" s="778">
        <f t="shared" si="7"/>
        <v>0.76604444311897779</v>
      </c>
      <c r="AR9" s="778">
        <f t="shared" si="7"/>
        <v>0.86602540378443882</v>
      </c>
      <c r="AS9" s="778">
        <f t="shared" si="7"/>
        <v>0.93969262078590809</v>
      </c>
      <c r="AT9" s="778">
        <f t="shared" si="7"/>
        <v>0.98480775301220802</v>
      </c>
      <c r="AU9" s="778">
        <f t="shared" si="7"/>
        <v>1</v>
      </c>
      <c r="AV9" s="778">
        <f t="shared" si="7"/>
        <v>0.98480775301220813</v>
      </c>
      <c r="AW9" s="778">
        <f t="shared" si="7"/>
        <v>0.93969262078590865</v>
      </c>
      <c r="AX9" s="778">
        <f t="shared" si="7"/>
        <v>0.86602540378443915</v>
      </c>
      <c r="AY9" s="778">
        <f t="shared" si="7"/>
        <v>0.76604444311897757</v>
      </c>
      <c r="AZ9" s="778">
        <f t="shared" si="7"/>
        <v>0.64278760968654036</v>
      </c>
      <c r="BA9" s="778">
        <f t="shared" si="7"/>
        <v>0.49999999999999978</v>
      </c>
      <c r="BB9" s="778">
        <f t="shared" si="7"/>
        <v>0.34202014332566871</v>
      </c>
      <c r="BC9" s="778">
        <f t="shared" si="7"/>
        <v>0.1736481776669305</v>
      </c>
      <c r="BD9" s="778">
        <f t="shared" si="7"/>
        <v>3.67544536472586E-16</v>
      </c>
      <c r="BE9" s="778">
        <f t="shared" si="7"/>
        <v>-0.17364817766692978</v>
      </c>
      <c r="BF9" s="778">
        <f t="shared" si="7"/>
        <v>-0.34202014332566799</v>
      </c>
      <c r="BG9" s="778">
        <f t="shared" si="7"/>
        <v>-0.49999999999999917</v>
      </c>
      <c r="BH9" s="778">
        <f t="shared" si="7"/>
        <v>-0.64278760968653981</v>
      </c>
      <c r="BI9" s="778">
        <f t="shared" si="7"/>
        <v>-0.76604444311897713</v>
      </c>
      <c r="BJ9" s="778">
        <f t="shared" si="7"/>
        <v>-0.86602540378443871</v>
      </c>
      <c r="BK9" s="778">
        <f t="shared" si="7"/>
        <v>-0.93969262078590843</v>
      </c>
      <c r="BL9" s="778">
        <f t="shared" si="7"/>
        <v>-0.98480775301220802</v>
      </c>
      <c r="BM9" s="778">
        <f t="shared" si="7"/>
        <v>-1</v>
      </c>
      <c r="BN9" s="778">
        <f t="shared" ref="BN9:BV9" si="8">SIN(BN7)</f>
        <v>-0.98480775301220813</v>
      </c>
      <c r="BO9" s="778">
        <f t="shared" si="8"/>
        <v>-0.93969262078590865</v>
      </c>
      <c r="BP9" s="778">
        <f t="shared" si="8"/>
        <v>-0.86602540378443915</v>
      </c>
      <c r="BQ9" s="778">
        <f t="shared" si="8"/>
        <v>-0.76604444311897768</v>
      </c>
      <c r="BR9" s="778">
        <f t="shared" si="8"/>
        <v>-0.64278760968654047</v>
      </c>
      <c r="BS9" s="778">
        <f t="shared" si="8"/>
        <v>-0.49999999999999989</v>
      </c>
      <c r="BT9" s="778">
        <f t="shared" si="8"/>
        <v>-0.34202014332566882</v>
      </c>
      <c r="BU9" s="778">
        <f t="shared" si="8"/>
        <v>-0.17364817766693064</v>
      </c>
      <c r="BV9" s="778">
        <f t="shared" si="8"/>
        <v>-4.90059381963448E-16</v>
      </c>
    </row>
    <row r="10" spans="1:74" s="779" customFormat="1"/>
    <row r="11" spans="1:74">
      <c r="A11" s="774" t="s">
        <v>2109</v>
      </c>
      <c r="B11" s="780">
        <v>0</v>
      </c>
      <c r="D11" s="774" t="s">
        <v>2110</v>
      </c>
    </row>
    <row r="12" spans="1:74" s="778" customFormat="1">
      <c r="A12" s="774"/>
    </row>
    <row r="13" spans="1:74" s="778" customFormat="1">
      <c r="A13" s="778" t="s">
        <v>2111</v>
      </c>
      <c r="B13" s="778">
        <f t="shared" ref="B13:BM13" si="9">B9+$B$11</f>
        <v>0</v>
      </c>
      <c r="C13" s="778">
        <f t="shared" si="9"/>
        <v>0.17364817766693033</v>
      </c>
      <c r="D13" s="778">
        <f t="shared" si="9"/>
        <v>0.34202014332566871</v>
      </c>
      <c r="E13" s="778">
        <f t="shared" si="9"/>
        <v>0.49999999999999994</v>
      </c>
      <c r="F13" s="778">
        <f t="shared" si="9"/>
        <v>0.64278760968653925</v>
      </c>
      <c r="G13" s="778">
        <f t="shared" si="9"/>
        <v>0.76604444311897801</v>
      </c>
      <c r="H13" s="778">
        <f t="shared" si="9"/>
        <v>0.8660254037844386</v>
      </c>
      <c r="I13" s="778">
        <f t="shared" si="9"/>
        <v>0.93969262078590832</v>
      </c>
      <c r="J13" s="778">
        <f t="shared" si="9"/>
        <v>0.98480775301220802</v>
      </c>
      <c r="K13" s="778">
        <f t="shared" si="9"/>
        <v>1</v>
      </c>
      <c r="L13" s="778">
        <f t="shared" si="9"/>
        <v>0.98480775301220802</v>
      </c>
      <c r="M13" s="778">
        <f t="shared" si="9"/>
        <v>0.93969262078590843</v>
      </c>
      <c r="N13" s="778">
        <f t="shared" si="9"/>
        <v>0.86602540378443871</v>
      </c>
      <c r="O13" s="778">
        <f t="shared" si="9"/>
        <v>0.76604444311897801</v>
      </c>
      <c r="P13" s="778">
        <f t="shared" si="9"/>
        <v>0.64278760968653947</v>
      </c>
      <c r="Q13" s="778">
        <f t="shared" si="9"/>
        <v>0.49999999999999994</v>
      </c>
      <c r="R13" s="778">
        <f t="shared" si="9"/>
        <v>0.34202014332566888</v>
      </c>
      <c r="S13" s="778">
        <f t="shared" si="9"/>
        <v>0.17364817766693069</v>
      </c>
      <c r="T13" s="778">
        <f t="shared" si="9"/>
        <v>1.22514845490862E-16</v>
      </c>
      <c r="U13" s="778">
        <f t="shared" si="9"/>
        <v>-0.17364817766693047</v>
      </c>
      <c r="V13" s="778">
        <f t="shared" si="9"/>
        <v>-0.34202014332566866</v>
      </c>
      <c r="W13" s="778">
        <f t="shared" si="9"/>
        <v>-0.50000000000000011</v>
      </c>
      <c r="X13" s="778">
        <f t="shared" si="9"/>
        <v>-0.64278760968653925</v>
      </c>
      <c r="Y13" s="778">
        <f t="shared" si="9"/>
        <v>-0.7660444431189779</v>
      </c>
      <c r="Z13" s="778">
        <f t="shared" si="9"/>
        <v>-0.86602540378443837</v>
      </c>
      <c r="AA13" s="778">
        <f t="shared" si="9"/>
        <v>-0.93969262078590821</v>
      </c>
      <c r="AB13" s="778">
        <f t="shared" si="9"/>
        <v>-0.98480775301220802</v>
      </c>
      <c r="AC13" s="778">
        <f t="shared" si="9"/>
        <v>-1</v>
      </c>
      <c r="AD13" s="778">
        <f t="shared" si="9"/>
        <v>-0.98480775301220813</v>
      </c>
      <c r="AE13" s="778">
        <f t="shared" si="9"/>
        <v>-0.93969262078590832</v>
      </c>
      <c r="AF13" s="778">
        <f t="shared" si="9"/>
        <v>-0.8660254037844386</v>
      </c>
      <c r="AG13" s="778">
        <f t="shared" si="9"/>
        <v>-0.76604444311897812</v>
      </c>
      <c r="AH13" s="778">
        <f t="shared" si="9"/>
        <v>-0.64278760968653958</v>
      </c>
      <c r="AI13" s="778">
        <f t="shared" si="9"/>
        <v>-0.50000000000000044</v>
      </c>
      <c r="AJ13" s="778">
        <f t="shared" si="9"/>
        <v>-0.34202014332566943</v>
      </c>
      <c r="AK13" s="778">
        <f t="shared" si="9"/>
        <v>-0.17364817766693039</v>
      </c>
      <c r="AL13" s="778">
        <f t="shared" si="9"/>
        <v>-2.45029690981724E-16</v>
      </c>
      <c r="AM13" s="778">
        <f t="shared" si="9"/>
        <v>0.17364817766692991</v>
      </c>
      <c r="AN13" s="778">
        <f t="shared" si="9"/>
        <v>0.34202014332566893</v>
      </c>
      <c r="AO13" s="778">
        <f t="shared" si="9"/>
        <v>0.49999999999999928</v>
      </c>
      <c r="AP13" s="778">
        <f t="shared" si="9"/>
        <v>0.64278760968653914</v>
      </c>
      <c r="AQ13" s="778">
        <f t="shared" si="9"/>
        <v>0.76604444311897779</v>
      </c>
      <c r="AR13" s="778">
        <f t="shared" si="9"/>
        <v>0.86602540378443882</v>
      </c>
      <c r="AS13" s="778">
        <f t="shared" si="9"/>
        <v>0.93969262078590809</v>
      </c>
      <c r="AT13" s="778">
        <f t="shared" si="9"/>
        <v>0.98480775301220802</v>
      </c>
      <c r="AU13" s="778">
        <f t="shared" si="9"/>
        <v>1</v>
      </c>
      <c r="AV13" s="778">
        <f t="shared" si="9"/>
        <v>0.98480775301220813</v>
      </c>
      <c r="AW13" s="778">
        <f t="shared" si="9"/>
        <v>0.93969262078590865</v>
      </c>
      <c r="AX13" s="778">
        <f t="shared" si="9"/>
        <v>0.86602540378443915</v>
      </c>
      <c r="AY13" s="778">
        <f t="shared" si="9"/>
        <v>0.76604444311897757</v>
      </c>
      <c r="AZ13" s="778">
        <f t="shared" si="9"/>
        <v>0.64278760968654036</v>
      </c>
      <c r="BA13" s="778">
        <f t="shared" si="9"/>
        <v>0.49999999999999978</v>
      </c>
      <c r="BB13" s="778">
        <f t="shared" si="9"/>
        <v>0.34202014332566871</v>
      </c>
      <c r="BC13" s="778">
        <f t="shared" si="9"/>
        <v>0.1736481776669305</v>
      </c>
      <c r="BD13" s="778">
        <f t="shared" si="9"/>
        <v>3.67544536472586E-16</v>
      </c>
      <c r="BE13" s="778">
        <f t="shared" si="9"/>
        <v>-0.17364817766692978</v>
      </c>
      <c r="BF13" s="778">
        <f t="shared" si="9"/>
        <v>-0.34202014332566799</v>
      </c>
      <c r="BG13" s="778">
        <f t="shared" si="9"/>
        <v>-0.49999999999999917</v>
      </c>
      <c r="BH13" s="778">
        <f t="shared" si="9"/>
        <v>-0.64278760968653981</v>
      </c>
      <c r="BI13" s="778">
        <f t="shared" si="9"/>
        <v>-0.76604444311897713</v>
      </c>
      <c r="BJ13" s="778">
        <f t="shared" si="9"/>
        <v>-0.86602540378443871</v>
      </c>
      <c r="BK13" s="778">
        <f t="shared" si="9"/>
        <v>-0.93969262078590843</v>
      </c>
      <c r="BL13" s="778">
        <f t="shared" si="9"/>
        <v>-0.98480775301220802</v>
      </c>
      <c r="BM13" s="778">
        <f t="shared" si="9"/>
        <v>-1</v>
      </c>
      <c r="BN13" s="778">
        <f t="shared" ref="BN13:BV13" si="10">BN9+$B$11</f>
        <v>-0.98480775301220813</v>
      </c>
      <c r="BO13" s="778">
        <f t="shared" si="10"/>
        <v>-0.93969262078590865</v>
      </c>
      <c r="BP13" s="778">
        <f t="shared" si="10"/>
        <v>-0.86602540378443915</v>
      </c>
      <c r="BQ13" s="778">
        <f t="shared" si="10"/>
        <v>-0.76604444311897768</v>
      </c>
      <c r="BR13" s="778">
        <f t="shared" si="10"/>
        <v>-0.64278760968654047</v>
      </c>
      <c r="BS13" s="778">
        <f t="shared" si="10"/>
        <v>-0.49999999999999989</v>
      </c>
      <c r="BT13" s="778">
        <f t="shared" si="10"/>
        <v>-0.34202014332566882</v>
      </c>
      <c r="BU13" s="778">
        <f t="shared" si="10"/>
        <v>-0.17364817766693064</v>
      </c>
      <c r="BV13" s="778">
        <f t="shared" si="10"/>
        <v>-4.90059381963448E-16</v>
      </c>
    </row>
    <row r="14" spans="1:74" s="779" customFormat="1" ht="13.5" thickBot="1"/>
    <row r="15" spans="1:74" ht="14.25" thickTop="1" thickBot="1">
      <c r="A15" s="774" t="s">
        <v>2112</v>
      </c>
      <c r="B15" s="781">
        <v>1</v>
      </c>
      <c r="D15" s="774" t="s">
        <v>2113</v>
      </c>
    </row>
    <row r="16" spans="1:74" ht="13.5" thickTop="1"/>
    <row r="17" spans="1:81" s="778" customFormat="1">
      <c r="A17" s="774" t="s">
        <v>2114</v>
      </c>
      <c r="B17" s="778">
        <f t="shared" ref="B17:BM17" si="11">B9*$B$15</f>
        <v>0</v>
      </c>
      <c r="C17" s="778">
        <f t="shared" si="11"/>
        <v>0.17364817766693033</v>
      </c>
      <c r="D17" s="778">
        <f t="shared" si="11"/>
        <v>0.34202014332566871</v>
      </c>
      <c r="E17" s="778">
        <f t="shared" si="11"/>
        <v>0.49999999999999994</v>
      </c>
      <c r="F17" s="778">
        <f t="shared" si="11"/>
        <v>0.64278760968653925</v>
      </c>
      <c r="G17" s="778">
        <f t="shared" si="11"/>
        <v>0.76604444311897801</v>
      </c>
      <c r="H17" s="778">
        <f t="shared" si="11"/>
        <v>0.8660254037844386</v>
      </c>
      <c r="I17" s="778">
        <f t="shared" si="11"/>
        <v>0.93969262078590832</v>
      </c>
      <c r="J17" s="778">
        <f t="shared" si="11"/>
        <v>0.98480775301220802</v>
      </c>
      <c r="K17" s="778">
        <f t="shared" si="11"/>
        <v>1</v>
      </c>
      <c r="L17" s="778">
        <f t="shared" si="11"/>
        <v>0.98480775301220802</v>
      </c>
      <c r="M17" s="778">
        <f t="shared" si="11"/>
        <v>0.93969262078590843</v>
      </c>
      <c r="N17" s="778">
        <f t="shared" si="11"/>
        <v>0.86602540378443871</v>
      </c>
      <c r="O17" s="778">
        <f t="shared" si="11"/>
        <v>0.76604444311897801</v>
      </c>
      <c r="P17" s="778">
        <f t="shared" si="11"/>
        <v>0.64278760968653947</v>
      </c>
      <c r="Q17" s="778">
        <f t="shared" si="11"/>
        <v>0.49999999999999994</v>
      </c>
      <c r="R17" s="778">
        <f t="shared" si="11"/>
        <v>0.34202014332566888</v>
      </c>
      <c r="S17" s="778">
        <f t="shared" si="11"/>
        <v>0.17364817766693069</v>
      </c>
      <c r="T17" s="778">
        <f t="shared" si="11"/>
        <v>1.22514845490862E-16</v>
      </c>
      <c r="U17" s="778">
        <f t="shared" si="11"/>
        <v>-0.17364817766693047</v>
      </c>
      <c r="V17" s="778">
        <f t="shared" si="11"/>
        <v>-0.34202014332566866</v>
      </c>
      <c r="W17" s="778">
        <f t="shared" si="11"/>
        <v>-0.50000000000000011</v>
      </c>
      <c r="X17" s="778">
        <f t="shared" si="11"/>
        <v>-0.64278760968653925</v>
      </c>
      <c r="Y17" s="778">
        <f t="shared" si="11"/>
        <v>-0.7660444431189779</v>
      </c>
      <c r="Z17" s="778">
        <f t="shared" si="11"/>
        <v>-0.86602540378443837</v>
      </c>
      <c r="AA17" s="778">
        <f t="shared" si="11"/>
        <v>-0.93969262078590821</v>
      </c>
      <c r="AB17" s="778">
        <f t="shared" si="11"/>
        <v>-0.98480775301220802</v>
      </c>
      <c r="AC17" s="778">
        <f t="shared" si="11"/>
        <v>-1</v>
      </c>
      <c r="AD17" s="778">
        <f t="shared" si="11"/>
        <v>-0.98480775301220813</v>
      </c>
      <c r="AE17" s="778">
        <f t="shared" si="11"/>
        <v>-0.93969262078590832</v>
      </c>
      <c r="AF17" s="778">
        <f t="shared" si="11"/>
        <v>-0.8660254037844386</v>
      </c>
      <c r="AG17" s="778">
        <f t="shared" si="11"/>
        <v>-0.76604444311897812</v>
      </c>
      <c r="AH17" s="778">
        <f t="shared" si="11"/>
        <v>-0.64278760968653958</v>
      </c>
      <c r="AI17" s="778">
        <f t="shared" si="11"/>
        <v>-0.50000000000000044</v>
      </c>
      <c r="AJ17" s="778">
        <f t="shared" si="11"/>
        <v>-0.34202014332566943</v>
      </c>
      <c r="AK17" s="778">
        <f t="shared" si="11"/>
        <v>-0.17364817766693039</v>
      </c>
      <c r="AL17" s="778">
        <f t="shared" si="11"/>
        <v>-2.45029690981724E-16</v>
      </c>
      <c r="AM17" s="778">
        <f t="shared" si="11"/>
        <v>0.17364817766692991</v>
      </c>
      <c r="AN17" s="778">
        <f t="shared" si="11"/>
        <v>0.34202014332566893</v>
      </c>
      <c r="AO17" s="778">
        <f t="shared" si="11"/>
        <v>0.49999999999999928</v>
      </c>
      <c r="AP17" s="778">
        <f t="shared" si="11"/>
        <v>0.64278760968653914</v>
      </c>
      <c r="AQ17" s="778">
        <f t="shared" si="11"/>
        <v>0.76604444311897779</v>
      </c>
      <c r="AR17" s="778">
        <f t="shared" si="11"/>
        <v>0.86602540378443882</v>
      </c>
      <c r="AS17" s="778">
        <f t="shared" si="11"/>
        <v>0.93969262078590809</v>
      </c>
      <c r="AT17" s="778">
        <f t="shared" si="11"/>
        <v>0.98480775301220802</v>
      </c>
      <c r="AU17" s="778">
        <f t="shared" si="11"/>
        <v>1</v>
      </c>
      <c r="AV17" s="778">
        <f t="shared" si="11"/>
        <v>0.98480775301220813</v>
      </c>
      <c r="AW17" s="778">
        <f t="shared" si="11"/>
        <v>0.93969262078590865</v>
      </c>
      <c r="AX17" s="778">
        <f t="shared" si="11"/>
        <v>0.86602540378443915</v>
      </c>
      <c r="AY17" s="778">
        <f t="shared" si="11"/>
        <v>0.76604444311897757</v>
      </c>
      <c r="AZ17" s="778">
        <f t="shared" si="11"/>
        <v>0.64278760968654036</v>
      </c>
      <c r="BA17" s="778">
        <f t="shared" si="11"/>
        <v>0.49999999999999978</v>
      </c>
      <c r="BB17" s="778">
        <f t="shared" si="11"/>
        <v>0.34202014332566871</v>
      </c>
      <c r="BC17" s="778">
        <f t="shared" si="11"/>
        <v>0.1736481776669305</v>
      </c>
      <c r="BD17" s="778">
        <f t="shared" si="11"/>
        <v>3.67544536472586E-16</v>
      </c>
      <c r="BE17" s="778">
        <f t="shared" si="11"/>
        <v>-0.17364817766692978</v>
      </c>
      <c r="BF17" s="778">
        <f t="shared" si="11"/>
        <v>-0.34202014332566799</v>
      </c>
      <c r="BG17" s="778">
        <f t="shared" si="11"/>
        <v>-0.49999999999999917</v>
      </c>
      <c r="BH17" s="778">
        <f t="shared" si="11"/>
        <v>-0.64278760968653981</v>
      </c>
      <c r="BI17" s="778">
        <f t="shared" si="11"/>
        <v>-0.76604444311897713</v>
      </c>
      <c r="BJ17" s="778">
        <f t="shared" si="11"/>
        <v>-0.86602540378443871</v>
      </c>
      <c r="BK17" s="778">
        <f t="shared" si="11"/>
        <v>-0.93969262078590843</v>
      </c>
      <c r="BL17" s="778">
        <f t="shared" si="11"/>
        <v>-0.98480775301220802</v>
      </c>
      <c r="BM17" s="778">
        <f t="shared" si="11"/>
        <v>-1</v>
      </c>
      <c r="BN17" s="778">
        <f t="shared" ref="BN17:BV17" si="12">BN9*$B$15</f>
        <v>-0.98480775301220813</v>
      </c>
      <c r="BO17" s="778">
        <f t="shared" si="12"/>
        <v>-0.93969262078590865</v>
      </c>
      <c r="BP17" s="778">
        <f t="shared" si="12"/>
        <v>-0.86602540378443915</v>
      </c>
      <c r="BQ17" s="778">
        <f t="shared" si="12"/>
        <v>-0.76604444311897768</v>
      </c>
      <c r="BR17" s="778">
        <f t="shared" si="12"/>
        <v>-0.64278760968654047</v>
      </c>
      <c r="BS17" s="778">
        <f t="shared" si="12"/>
        <v>-0.49999999999999989</v>
      </c>
      <c r="BT17" s="778">
        <f t="shared" si="12"/>
        <v>-0.34202014332566882</v>
      </c>
      <c r="BU17" s="778">
        <f t="shared" si="12"/>
        <v>-0.17364817766693064</v>
      </c>
      <c r="BV17" s="778">
        <f t="shared" si="12"/>
        <v>-4.90059381963448E-16</v>
      </c>
    </row>
    <row r="18" spans="1:81" s="779" customFormat="1" ht="13.5" thickBot="1"/>
    <row r="19" spans="1:81" ht="14.25" thickTop="1" thickBot="1">
      <c r="A19" s="774" t="s">
        <v>2115</v>
      </c>
      <c r="B19" s="782">
        <v>150</v>
      </c>
      <c r="D19" s="774" t="s">
        <v>2116</v>
      </c>
    </row>
    <row r="20" spans="1:81" ht="13.5" thickTop="1"/>
    <row r="21" spans="1:81">
      <c r="A21" s="778" t="s">
        <v>2108</v>
      </c>
      <c r="B21" s="778">
        <f t="shared" ref="B21:BM21" si="13">SIN(2*PI()*(B5+$B$19)/360)</f>
        <v>0.49999999999999994</v>
      </c>
      <c r="C21" s="778">
        <f t="shared" si="13"/>
        <v>0.34202014332566888</v>
      </c>
      <c r="D21" s="778">
        <f t="shared" si="13"/>
        <v>0.17364817766693028</v>
      </c>
      <c r="E21" s="778">
        <f t="shared" si="13"/>
        <v>1.22514845490862E-16</v>
      </c>
      <c r="F21" s="778">
        <f t="shared" si="13"/>
        <v>-0.17364817766693047</v>
      </c>
      <c r="G21" s="778">
        <f t="shared" si="13"/>
        <v>-0.34202014332566866</v>
      </c>
      <c r="H21" s="778">
        <f t="shared" si="13"/>
        <v>-0.50000000000000011</v>
      </c>
      <c r="I21" s="778">
        <f t="shared" si="13"/>
        <v>-0.64278760968653925</v>
      </c>
      <c r="J21" s="778">
        <f t="shared" si="13"/>
        <v>-0.7660444431189779</v>
      </c>
      <c r="K21" s="778">
        <f t="shared" si="13"/>
        <v>-0.86602540378443837</v>
      </c>
      <c r="L21" s="778">
        <f t="shared" si="13"/>
        <v>-0.93969262078590821</v>
      </c>
      <c r="M21" s="778">
        <f t="shared" si="13"/>
        <v>-0.98480775301220802</v>
      </c>
      <c r="N21" s="778">
        <f t="shared" si="13"/>
        <v>-1</v>
      </c>
      <c r="O21" s="778">
        <f t="shared" si="13"/>
        <v>-0.98480775301220813</v>
      </c>
      <c r="P21" s="778">
        <f t="shared" si="13"/>
        <v>-0.93969262078590854</v>
      </c>
      <c r="Q21" s="778">
        <f t="shared" si="13"/>
        <v>-0.8660254037844386</v>
      </c>
      <c r="R21" s="778">
        <f t="shared" si="13"/>
        <v>-0.76604444311897812</v>
      </c>
      <c r="S21" s="778">
        <f t="shared" si="13"/>
        <v>-0.64278760968653958</v>
      </c>
      <c r="T21" s="778">
        <f t="shared" si="13"/>
        <v>-0.50000000000000044</v>
      </c>
      <c r="U21" s="778">
        <f t="shared" si="13"/>
        <v>-0.3420201433256686</v>
      </c>
      <c r="V21" s="778">
        <f t="shared" si="13"/>
        <v>-0.17364817766693127</v>
      </c>
      <c r="W21" s="778">
        <f t="shared" si="13"/>
        <v>-2.45029690981724E-16</v>
      </c>
      <c r="X21" s="778">
        <f t="shared" si="13"/>
        <v>0.17364817766692991</v>
      </c>
      <c r="Y21" s="778">
        <f t="shared" si="13"/>
        <v>0.34202014332566893</v>
      </c>
      <c r="Z21" s="778">
        <f t="shared" si="13"/>
        <v>0.49999999999999928</v>
      </c>
      <c r="AA21" s="778">
        <f t="shared" si="13"/>
        <v>0.64278760968653914</v>
      </c>
      <c r="AB21" s="778">
        <f t="shared" si="13"/>
        <v>0.76604444311897779</v>
      </c>
      <c r="AC21" s="778">
        <f t="shared" si="13"/>
        <v>0.86602540378443882</v>
      </c>
      <c r="AD21" s="778">
        <f t="shared" si="13"/>
        <v>0.93969262078590809</v>
      </c>
      <c r="AE21" s="778">
        <f t="shared" si="13"/>
        <v>0.98480775301220802</v>
      </c>
      <c r="AF21" s="778">
        <f t="shared" si="13"/>
        <v>1</v>
      </c>
      <c r="AG21" s="778">
        <f t="shared" si="13"/>
        <v>0.98480775301220813</v>
      </c>
      <c r="AH21" s="778">
        <f t="shared" si="13"/>
        <v>0.93969262078590865</v>
      </c>
      <c r="AI21" s="778">
        <f t="shared" si="13"/>
        <v>0.86602540378443915</v>
      </c>
      <c r="AJ21" s="778">
        <f t="shared" si="13"/>
        <v>0.76604444311897879</v>
      </c>
      <c r="AK21" s="778">
        <f t="shared" si="13"/>
        <v>0.64278760968654036</v>
      </c>
      <c r="AL21" s="778">
        <f t="shared" si="13"/>
        <v>0.49999999999999978</v>
      </c>
      <c r="AM21" s="778">
        <f t="shared" si="13"/>
        <v>0.34202014332566871</v>
      </c>
      <c r="AN21" s="778">
        <f t="shared" si="13"/>
        <v>0.1736481776669305</v>
      </c>
      <c r="AO21" s="778">
        <f t="shared" si="13"/>
        <v>3.67544536472586E-16</v>
      </c>
      <c r="AP21" s="778">
        <f t="shared" si="13"/>
        <v>-0.17364817766692978</v>
      </c>
      <c r="AQ21" s="778">
        <f t="shared" si="13"/>
        <v>-0.34202014332566799</v>
      </c>
      <c r="AR21" s="778">
        <f t="shared" si="13"/>
        <v>-0.50000000000000067</v>
      </c>
      <c r="AS21" s="778">
        <f t="shared" si="13"/>
        <v>-0.64278760968653836</v>
      </c>
      <c r="AT21" s="778">
        <f t="shared" si="13"/>
        <v>-0.76604444311897824</v>
      </c>
      <c r="AU21" s="778">
        <f t="shared" si="13"/>
        <v>-0.86602540378443871</v>
      </c>
      <c r="AV21" s="778">
        <f t="shared" si="13"/>
        <v>-0.93969262078590843</v>
      </c>
      <c r="AW21" s="778">
        <f t="shared" si="13"/>
        <v>-0.98480775301220802</v>
      </c>
      <c r="AX21" s="778">
        <f t="shared" si="13"/>
        <v>-1</v>
      </c>
      <c r="AY21" s="778">
        <f t="shared" si="13"/>
        <v>-0.98480775301220813</v>
      </c>
      <c r="AZ21" s="778">
        <f t="shared" si="13"/>
        <v>-0.93969262078590865</v>
      </c>
      <c r="BA21" s="778">
        <f t="shared" si="13"/>
        <v>-0.86602540378443915</v>
      </c>
      <c r="BB21" s="778">
        <f t="shared" si="13"/>
        <v>-0.76604444311897879</v>
      </c>
      <c r="BC21" s="778">
        <f t="shared" si="13"/>
        <v>-0.64278760968653903</v>
      </c>
      <c r="BD21" s="778">
        <f t="shared" si="13"/>
        <v>-0.49999999999999989</v>
      </c>
      <c r="BE21" s="778">
        <f t="shared" si="13"/>
        <v>-0.34202014332567049</v>
      </c>
      <c r="BF21" s="778">
        <f t="shared" si="13"/>
        <v>-0.17364817766693064</v>
      </c>
      <c r="BG21" s="778">
        <f t="shared" si="13"/>
        <v>-4.90059381963448E-16</v>
      </c>
      <c r="BH21" s="778">
        <f t="shared" si="13"/>
        <v>0.17364817766693141</v>
      </c>
      <c r="BI21" s="778">
        <f t="shared" si="13"/>
        <v>0.34202014332566788</v>
      </c>
      <c r="BJ21" s="778">
        <f t="shared" si="13"/>
        <v>0.49999999999999906</v>
      </c>
      <c r="BK21" s="778">
        <f t="shared" si="13"/>
        <v>0.6427876096865397</v>
      </c>
      <c r="BL21" s="778">
        <f t="shared" si="13"/>
        <v>0.76604444311897824</v>
      </c>
      <c r="BM21" s="778">
        <f t="shared" si="13"/>
        <v>0.86602540378443782</v>
      </c>
      <c r="BN21" s="778">
        <f t="shared" ref="BN21:BV21" si="14">SIN(2*PI()*(BN5+$B$19)/360)</f>
        <v>0.93969262078590832</v>
      </c>
      <c r="BO21" s="778">
        <f t="shared" si="14"/>
        <v>0.98480775301220802</v>
      </c>
      <c r="BP21" s="778">
        <f t="shared" si="14"/>
        <v>1</v>
      </c>
      <c r="BQ21" s="778">
        <f t="shared" si="14"/>
        <v>0.98480775301220824</v>
      </c>
      <c r="BR21" s="778">
        <f t="shared" si="14"/>
        <v>0.93969262078590876</v>
      </c>
      <c r="BS21" s="778">
        <f t="shared" si="14"/>
        <v>0.86602540378443837</v>
      </c>
      <c r="BT21" s="778">
        <f t="shared" si="14"/>
        <v>0.7660444431189789</v>
      </c>
      <c r="BU21" s="778">
        <f t="shared" si="14"/>
        <v>0.64278760968654058</v>
      </c>
      <c r="BV21" s="778">
        <f t="shared" si="14"/>
        <v>0.5</v>
      </c>
      <c r="BW21" s="778"/>
      <c r="BX21" s="778"/>
      <c r="BY21" s="778"/>
      <c r="BZ21" s="778"/>
      <c r="CA21" s="778"/>
      <c r="CB21" s="778"/>
      <c r="CC21" s="778"/>
    </row>
    <row r="22" spans="1:81" s="779" customFormat="1"/>
    <row r="23" spans="1:81">
      <c r="A23" s="783" t="s">
        <v>2117</v>
      </c>
      <c r="B23" s="778"/>
      <c r="C23" s="778"/>
      <c r="D23" s="778"/>
      <c r="E23" s="778"/>
    </row>
    <row r="25" spans="1:81">
      <c r="A25" s="774" t="s">
        <v>2118</v>
      </c>
      <c r="B25" s="774">
        <f t="shared" ref="B25:BM25" si="15">B17+B21</f>
        <v>0.49999999999999994</v>
      </c>
      <c r="C25" s="774">
        <f t="shared" si="15"/>
        <v>0.51566832099259918</v>
      </c>
      <c r="D25" s="774">
        <f t="shared" si="15"/>
        <v>0.51566832099259896</v>
      </c>
      <c r="E25" s="774">
        <f t="shared" si="15"/>
        <v>0.50000000000000011</v>
      </c>
      <c r="F25" s="774">
        <f t="shared" si="15"/>
        <v>0.46913943201960878</v>
      </c>
      <c r="G25" s="774">
        <f t="shared" si="15"/>
        <v>0.42402429979330936</v>
      </c>
      <c r="H25" s="778">
        <f t="shared" si="15"/>
        <v>0.36602540378443849</v>
      </c>
      <c r="I25" s="774">
        <f t="shared" si="15"/>
        <v>0.29690501109936906</v>
      </c>
      <c r="J25" s="774">
        <f t="shared" si="15"/>
        <v>0.21876330989323012</v>
      </c>
      <c r="K25" s="774">
        <f t="shared" si="15"/>
        <v>0.13397459621556163</v>
      </c>
      <c r="L25" s="774">
        <f t="shared" si="15"/>
        <v>4.5115132226299814E-2</v>
      </c>
      <c r="M25" s="774">
        <f t="shared" si="15"/>
        <v>-4.5115132226299592E-2</v>
      </c>
      <c r="N25" s="774">
        <f t="shared" si="15"/>
        <v>-0.13397459621556129</v>
      </c>
      <c r="O25" s="774">
        <f t="shared" si="15"/>
        <v>-0.21876330989323012</v>
      </c>
      <c r="P25" s="774">
        <f t="shared" si="15"/>
        <v>-0.29690501109936906</v>
      </c>
      <c r="Q25" s="774">
        <f t="shared" si="15"/>
        <v>-0.36602540378443865</v>
      </c>
      <c r="R25" s="774">
        <f t="shared" si="15"/>
        <v>-0.42402429979330925</v>
      </c>
      <c r="S25" s="774">
        <f t="shared" si="15"/>
        <v>-0.46913943201960889</v>
      </c>
      <c r="T25" s="774">
        <f t="shared" si="15"/>
        <v>-0.50000000000000033</v>
      </c>
      <c r="U25" s="774">
        <f t="shared" si="15"/>
        <v>-0.51566832099259907</v>
      </c>
      <c r="V25" s="774">
        <f t="shared" si="15"/>
        <v>-0.51566832099259996</v>
      </c>
      <c r="W25" s="774">
        <f t="shared" si="15"/>
        <v>-0.50000000000000033</v>
      </c>
      <c r="X25" s="774">
        <f t="shared" si="15"/>
        <v>-0.46913943201960934</v>
      </c>
      <c r="Y25" s="774">
        <f t="shared" si="15"/>
        <v>-0.42402429979330897</v>
      </c>
      <c r="Z25" s="774">
        <f t="shared" si="15"/>
        <v>-0.3660254037844391</v>
      </c>
      <c r="AA25" s="774">
        <f t="shared" si="15"/>
        <v>-0.29690501109936906</v>
      </c>
      <c r="AB25" s="774">
        <f t="shared" si="15"/>
        <v>-0.21876330989323023</v>
      </c>
      <c r="AC25" s="774">
        <f t="shared" si="15"/>
        <v>-0.13397459621556118</v>
      </c>
      <c r="AD25" s="774">
        <f t="shared" si="15"/>
        <v>-4.5115132226300036E-2</v>
      </c>
      <c r="AE25" s="774">
        <f t="shared" si="15"/>
        <v>4.5115132226299703E-2</v>
      </c>
      <c r="AF25" s="774">
        <f t="shared" si="15"/>
        <v>0.1339745962155614</v>
      </c>
      <c r="AG25" s="774">
        <f t="shared" si="15"/>
        <v>0.21876330989323001</v>
      </c>
      <c r="AH25" s="774">
        <f t="shared" si="15"/>
        <v>0.29690501109936906</v>
      </c>
      <c r="AI25" s="774">
        <f t="shared" si="15"/>
        <v>0.36602540378443871</v>
      </c>
      <c r="AJ25" s="774">
        <f t="shared" si="15"/>
        <v>0.42402429979330936</v>
      </c>
      <c r="AK25" s="774">
        <f t="shared" si="15"/>
        <v>0.46913943201960995</v>
      </c>
      <c r="AL25" s="774">
        <f t="shared" si="15"/>
        <v>0.49999999999999956</v>
      </c>
      <c r="AM25" s="774">
        <f t="shared" si="15"/>
        <v>0.51566832099259863</v>
      </c>
      <c r="AN25" s="774">
        <f t="shared" si="15"/>
        <v>0.5156683209925994</v>
      </c>
      <c r="AO25" s="774">
        <f t="shared" si="15"/>
        <v>0.49999999999999967</v>
      </c>
      <c r="AP25" s="774">
        <f t="shared" si="15"/>
        <v>0.46913943201960939</v>
      </c>
      <c r="AQ25" s="774">
        <f t="shared" si="15"/>
        <v>0.4240242997933098</v>
      </c>
      <c r="AR25" s="774">
        <f t="shared" si="15"/>
        <v>0.36602540378443815</v>
      </c>
      <c r="AS25" s="774">
        <f t="shared" si="15"/>
        <v>0.29690501109936973</v>
      </c>
      <c r="AT25" s="774">
        <f t="shared" si="15"/>
        <v>0.21876330989322978</v>
      </c>
      <c r="AU25" s="774">
        <f t="shared" si="15"/>
        <v>0.13397459621556129</v>
      </c>
      <c r="AV25" s="774">
        <f t="shared" si="15"/>
        <v>4.5115132226299703E-2</v>
      </c>
      <c r="AW25" s="774">
        <f t="shared" si="15"/>
        <v>-4.511513222629937E-2</v>
      </c>
      <c r="AX25" s="774">
        <f t="shared" si="15"/>
        <v>-0.13397459621556085</v>
      </c>
      <c r="AY25" s="774">
        <f t="shared" si="15"/>
        <v>-0.21876330989323056</v>
      </c>
      <c r="AZ25" s="774">
        <f t="shared" si="15"/>
        <v>-0.29690501109936829</v>
      </c>
      <c r="BA25" s="774">
        <f t="shared" si="15"/>
        <v>-0.36602540378443937</v>
      </c>
      <c r="BB25" s="774">
        <f t="shared" si="15"/>
        <v>-0.42402429979331008</v>
      </c>
      <c r="BC25" s="774">
        <f t="shared" si="15"/>
        <v>-0.4691394320196085</v>
      </c>
      <c r="BD25" s="774">
        <f t="shared" si="15"/>
        <v>-0.4999999999999995</v>
      </c>
      <c r="BE25" s="774">
        <f t="shared" si="15"/>
        <v>-0.51566832099260029</v>
      </c>
      <c r="BF25" s="774">
        <f t="shared" si="15"/>
        <v>-0.51566832099259863</v>
      </c>
      <c r="BG25" s="774">
        <f t="shared" si="15"/>
        <v>-0.49999999999999967</v>
      </c>
      <c r="BH25" s="774">
        <f t="shared" si="15"/>
        <v>-0.46913943201960839</v>
      </c>
      <c r="BI25" s="774">
        <f t="shared" si="15"/>
        <v>-0.42402429979330925</v>
      </c>
      <c r="BJ25" s="774">
        <f t="shared" si="15"/>
        <v>-0.36602540378443965</v>
      </c>
      <c r="BK25" s="774">
        <f t="shared" si="15"/>
        <v>-0.29690501109936873</v>
      </c>
      <c r="BL25" s="774">
        <f t="shared" si="15"/>
        <v>-0.21876330989322978</v>
      </c>
      <c r="BM25" s="774">
        <f t="shared" si="15"/>
        <v>-0.13397459621556218</v>
      </c>
      <c r="BN25" s="774">
        <f t="shared" ref="BN25:BV25" si="16">BN17+BN21</f>
        <v>-4.5115132226299814E-2</v>
      </c>
      <c r="BO25" s="774">
        <f t="shared" si="16"/>
        <v>4.511513222629937E-2</v>
      </c>
      <c r="BP25" s="774">
        <f t="shared" si="16"/>
        <v>0.13397459621556085</v>
      </c>
      <c r="BQ25" s="774">
        <f t="shared" si="16"/>
        <v>0.21876330989323056</v>
      </c>
      <c r="BR25" s="774">
        <f t="shared" si="16"/>
        <v>0.29690501109936829</v>
      </c>
      <c r="BS25" s="774">
        <f t="shared" si="16"/>
        <v>0.36602540378443849</v>
      </c>
      <c r="BT25" s="774">
        <f t="shared" si="16"/>
        <v>0.42402429979331008</v>
      </c>
      <c r="BU25" s="774">
        <f t="shared" si="16"/>
        <v>0.46913943201960995</v>
      </c>
      <c r="BV25" s="774">
        <f t="shared" si="16"/>
        <v>0.4999999999999995</v>
      </c>
    </row>
    <row r="26" spans="1:81" s="779" customFormat="1">
      <c r="H26" s="784"/>
    </row>
    <row r="27" spans="1:81">
      <c r="A27" s="785" t="s">
        <v>2119</v>
      </c>
      <c r="H27" s="778"/>
    </row>
    <row r="28" spans="1:81">
      <c r="B28" s="774">
        <f t="shared" ref="B28:BM28" si="17">B25^2</f>
        <v>0.24999999999999994</v>
      </c>
      <c r="C28" s="774">
        <f t="shared" si="17"/>
        <v>0.26591381727532631</v>
      </c>
      <c r="D28" s="774">
        <f t="shared" si="17"/>
        <v>0.26591381727532609</v>
      </c>
      <c r="E28" s="774">
        <f t="shared" si="17"/>
        <v>0.25000000000000011</v>
      </c>
      <c r="F28" s="774">
        <f t="shared" si="17"/>
        <v>0.22009180667568112</v>
      </c>
      <c r="G28" s="774">
        <f t="shared" si="17"/>
        <v>0.17979660681520629</v>
      </c>
      <c r="H28" s="778">
        <f t="shared" si="17"/>
        <v>0.13397459621556124</v>
      </c>
      <c r="I28" s="774">
        <f t="shared" si="17"/>
        <v>8.8152585615916462E-2</v>
      </c>
      <c r="J28" s="774">
        <f t="shared" si="17"/>
        <v>4.7857385755441434E-2</v>
      </c>
      <c r="K28" s="774">
        <f t="shared" si="17"/>
        <v>1.7949192431122779E-2</v>
      </c>
      <c r="L28" s="774">
        <f t="shared" si="17"/>
        <v>2.0353751557965162E-3</v>
      </c>
      <c r="M28" s="774">
        <f t="shared" si="17"/>
        <v>2.0353751557964962E-3</v>
      </c>
      <c r="N28" s="774">
        <f t="shared" si="17"/>
        <v>1.7949192431122689E-2</v>
      </c>
      <c r="O28" s="774">
        <f t="shared" si="17"/>
        <v>4.7857385755441434E-2</v>
      </c>
      <c r="P28" s="774">
        <f t="shared" si="17"/>
        <v>8.8152585615916462E-2</v>
      </c>
      <c r="Q28" s="774">
        <f t="shared" si="17"/>
        <v>0.13397459621556135</v>
      </c>
      <c r="R28" s="774">
        <f t="shared" si="17"/>
        <v>0.17979660681520621</v>
      </c>
      <c r="S28" s="774">
        <f t="shared" si="17"/>
        <v>0.22009180667568123</v>
      </c>
      <c r="T28" s="774">
        <f t="shared" si="17"/>
        <v>0.25000000000000033</v>
      </c>
      <c r="U28" s="774">
        <f t="shared" si="17"/>
        <v>0.2659138172753262</v>
      </c>
      <c r="V28" s="774">
        <f t="shared" si="17"/>
        <v>0.26591381727532709</v>
      </c>
      <c r="W28" s="774">
        <f t="shared" si="17"/>
        <v>0.25000000000000033</v>
      </c>
      <c r="X28" s="774">
        <f t="shared" si="17"/>
        <v>0.22009180667568165</v>
      </c>
      <c r="Y28" s="774">
        <f t="shared" si="17"/>
        <v>0.17979660681520596</v>
      </c>
      <c r="Z28" s="774">
        <f t="shared" si="17"/>
        <v>0.13397459621556168</v>
      </c>
      <c r="AA28" s="774">
        <f t="shared" si="17"/>
        <v>8.8152585615916462E-2</v>
      </c>
      <c r="AB28" s="774">
        <f t="shared" si="17"/>
        <v>4.7857385755441482E-2</v>
      </c>
      <c r="AC28" s="774">
        <f t="shared" si="17"/>
        <v>1.7949192431122661E-2</v>
      </c>
      <c r="AD28" s="774">
        <f t="shared" si="17"/>
        <v>2.0353751557965361E-3</v>
      </c>
      <c r="AE28" s="774">
        <f t="shared" si="17"/>
        <v>2.0353751557965062E-3</v>
      </c>
      <c r="AF28" s="774">
        <f t="shared" si="17"/>
        <v>1.794919243112272E-2</v>
      </c>
      <c r="AG28" s="774">
        <f t="shared" si="17"/>
        <v>4.7857385755441385E-2</v>
      </c>
      <c r="AH28" s="774">
        <f t="shared" si="17"/>
        <v>8.8152585615916462E-2</v>
      </c>
      <c r="AI28" s="774">
        <f t="shared" si="17"/>
        <v>0.1339745962155614</v>
      </c>
      <c r="AJ28" s="774">
        <f t="shared" si="17"/>
        <v>0.17979660681520629</v>
      </c>
      <c r="AK28" s="774">
        <f t="shared" si="17"/>
        <v>0.22009180667568223</v>
      </c>
      <c r="AL28" s="774">
        <f t="shared" si="17"/>
        <v>0.24999999999999956</v>
      </c>
      <c r="AM28" s="774">
        <f t="shared" si="17"/>
        <v>0.26591381727532576</v>
      </c>
      <c r="AN28" s="774">
        <f t="shared" si="17"/>
        <v>0.26591381727532654</v>
      </c>
      <c r="AO28" s="774">
        <f t="shared" si="17"/>
        <v>0.24999999999999967</v>
      </c>
      <c r="AP28" s="774">
        <f t="shared" si="17"/>
        <v>0.22009180667568171</v>
      </c>
      <c r="AQ28" s="774">
        <f t="shared" si="17"/>
        <v>0.17979660681520668</v>
      </c>
      <c r="AR28" s="774">
        <f t="shared" si="17"/>
        <v>0.13397459621556099</v>
      </c>
      <c r="AS28" s="774">
        <f t="shared" si="17"/>
        <v>8.8152585615916865E-2</v>
      </c>
      <c r="AT28" s="774">
        <f t="shared" si="17"/>
        <v>4.7857385755441288E-2</v>
      </c>
      <c r="AU28" s="774">
        <f t="shared" si="17"/>
        <v>1.7949192431122689E-2</v>
      </c>
      <c r="AV28" s="774">
        <f t="shared" si="17"/>
        <v>2.0353751557965062E-3</v>
      </c>
      <c r="AW28" s="774">
        <f t="shared" si="17"/>
        <v>2.0353751557964758E-3</v>
      </c>
      <c r="AX28" s="774">
        <f t="shared" si="17"/>
        <v>1.7949192431122571E-2</v>
      </c>
      <c r="AY28" s="774">
        <f t="shared" si="17"/>
        <v>4.7857385755441628E-2</v>
      </c>
      <c r="AZ28" s="774">
        <f t="shared" si="17"/>
        <v>8.8152585615916004E-2</v>
      </c>
      <c r="BA28" s="774">
        <f t="shared" si="17"/>
        <v>0.13397459621556188</v>
      </c>
      <c r="BB28" s="774">
        <f t="shared" si="17"/>
        <v>0.1797966068152069</v>
      </c>
      <c r="BC28" s="774">
        <f t="shared" si="17"/>
        <v>0.22009180667568087</v>
      </c>
      <c r="BD28" s="774">
        <f t="shared" si="17"/>
        <v>0.2499999999999995</v>
      </c>
      <c r="BE28" s="774">
        <f t="shared" si="17"/>
        <v>0.26591381727532748</v>
      </c>
      <c r="BF28" s="774">
        <f t="shared" si="17"/>
        <v>0.26591381727532576</v>
      </c>
      <c r="BG28" s="774">
        <f t="shared" si="17"/>
        <v>0.24999999999999967</v>
      </c>
      <c r="BH28" s="774">
        <f t="shared" si="17"/>
        <v>0.22009180667568076</v>
      </c>
      <c r="BI28" s="774">
        <f t="shared" si="17"/>
        <v>0.17979660681520621</v>
      </c>
      <c r="BJ28" s="774">
        <f t="shared" si="17"/>
        <v>0.1339745962155621</v>
      </c>
      <c r="BK28" s="774">
        <f t="shared" si="17"/>
        <v>8.8152585615916268E-2</v>
      </c>
      <c r="BL28" s="774">
        <f t="shared" si="17"/>
        <v>4.7857385755441288E-2</v>
      </c>
      <c r="BM28" s="774">
        <f t="shared" si="17"/>
        <v>1.7949192431122928E-2</v>
      </c>
      <c r="BN28" s="774">
        <f t="shared" ref="BN28:BV28" si="18">BN25^2</f>
        <v>2.0353751557965162E-3</v>
      </c>
      <c r="BO28" s="774">
        <f t="shared" si="18"/>
        <v>2.0353751557964758E-3</v>
      </c>
      <c r="BP28" s="774">
        <f t="shared" si="18"/>
        <v>1.7949192431122571E-2</v>
      </c>
      <c r="BQ28" s="774">
        <f t="shared" si="18"/>
        <v>4.7857385755441628E-2</v>
      </c>
      <c r="BR28" s="774">
        <f t="shared" si="18"/>
        <v>8.8152585615916004E-2</v>
      </c>
      <c r="BS28" s="774">
        <f t="shared" si="18"/>
        <v>0.13397459621556124</v>
      </c>
      <c r="BT28" s="774">
        <f t="shared" si="18"/>
        <v>0.1797966068152069</v>
      </c>
      <c r="BU28" s="774">
        <f t="shared" si="18"/>
        <v>0.22009180667568223</v>
      </c>
      <c r="BV28" s="774">
        <f t="shared" si="18"/>
        <v>0.2499999999999995</v>
      </c>
    </row>
  </sheetData>
  <printOptions gridLines="1" gridLinesSet="0"/>
  <pageMargins left="0.78740157499999996" right="0.78740157499999996" top="0.984251969" bottom="0.984251969" header="0.4921259845" footer="0.4921259845"/>
  <pageSetup paperSize="9" orientation="portrait" r:id="rId1"/>
  <headerFooter alignWithMargins="0">
    <oddHeader>&amp;F</oddHeader>
    <oddFooter>Seite &amp;P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2:M400"/>
  <sheetViews>
    <sheetView zoomScaleNormal="100" workbookViewId="0">
      <selection activeCell="N55" sqref="N55"/>
    </sheetView>
  </sheetViews>
  <sheetFormatPr baseColWidth="10" defaultRowHeight="12.75"/>
  <cols>
    <col min="1" max="1" width="11.42578125" style="1"/>
    <col min="2" max="2" width="44.140625" style="786" customWidth="1"/>
    <col min="3" max="3" width="19.7109375" style="26" customWidth="1"/>
    <col min="4" max="4" width="21" style="1" customWidth="1"/>
    <col min="5" max="10" width="11.42578125" style="1"/>
    <col min="11" max="11" width="8.7109375" style="26" customWidth="1"/>
    <col min="12" max="13" width="11.42578125" style="1"/>
  </cols>
  <sheetData>
    <row r="2" spans="1:13">
      <c r="B2" s="786" t="s">
        <v>2239</v>
      </c>
    </row>
    <row r="3" spans="1:13">
      <c r="B3" s="786" t="s">
        <v>2240</v>
      </c>
    </row>
    <row r="5" spans="1:13">
      <c r="B5" s="786" t="s">
        <v>2241</v>
      </c>
      <c r="C5" s="808">
        <v>299792458</v>
      </c>
      <c r="D5" s="1" t="s">
        <v>2242</v>
      </c>
    </row>
    <row r="6" spans="1:13">
      <c r="B6" s="786" t="s">
        <v>2243</v>
      </c>
    </row>
    <row r="7" spans="1:13">
      <c r="B7" s="786" t="s">
        <v>2244</v>
      </c>
    </row>
    <row r="8" spans="1:13">
      <c r="B8" s="786" t="s">
        <v>2245</v>
      </c>
    </row>
    <row r="10" spans="1:13">
      <c r="B10" s="786" t="s">
        <v>2246</v>
      </c>
    </row>
    <row r="11" spans="1:13" s="26" customFormat="1">
      <c r="A11" s="1"/>
      <c r="L11" s="1"/>
      <c r="M11" s="1"/>
    </row>
    <row r="12" spans="1:13" s="26" customFormat="1">
      <c r="A12" s="1"/>
      <c r="L12" s="1"/>
      <c r="M12" s="1"/>
    </row>
    <row r="13" spans="1:13" s="26" customFormat="1" ht="25.5">
      <c r="A13" s="1"/>
      <c r="B13" s="799" t="s">
        <v>2132</v>
      </c>
      <c r="C13" s="369"/>
      <c r="D13" s="1"/>
      <c r="E13" s="1"/>
      <c r="L13" s="1"/>
      <c r="M13" s="1"/>
    </row>
    <row r="14" spans="1:13" s="26" customFormat="1" ht="14.25">
      <c r="A14" s="1"/>
      <c r="B14" s="809" t="s">
        <v>2133</v>
      </c>
      <c r="C14" s="796" t="s">
        <v>2134</v>
      </c>
      <c r="D14" s="796" t="s">
        <v>850</v>
      </c>
      <c r="E14" s="796"/>
      <c r="L14" s="1"/>
      <c r="M14" s="1"/>
    </row>
    <row r="15" spans="1:13" s="26" customFormat="1">
      <c r="A15" s="1"/>
      <c r="B15" s="809"/>
      <c r="C15" s="796" t="s">
        <v>2135</v>
      </c>
      <c r="D15" s="796" t="s">
        <v>2135</v>
      </c>
      <c r="E15" s="796"/>
      <c r="F15" s="165" t="s">
        <v>2247</v>
      </c>
      <c r="L15" s="1"/>
      <c r="M15" s="1"/>
    </row>
    <row r="16" spans="1:13" s="26" customFormat="1">
      <c r="A16" s="1"/>
      <c r="B16" s="798" t="s">
        <v>2136</v>
      </c>
      <c r="C16" s="799">
        <v>1</v>
      </c>
      <c r="D16" s="800">
        <v>299792.45799999998</v>
      </c>
      <c r="E16" s="1" t="s">
        <v>823</v>
      </c>
      <c r="F16" s="284">
        <f t="shared" ref="F16:F26" si="0">$D$16/D16</f>
        <v>1</v>
      </c>
      <c r="L16" s="1"/>
      <c r="M16" s="1"/>
    </row>
    <row r="17" spans="1:13" s="26" customFormat="1">
      <c r="A17" s="1"/>
      <c r="B17" s="798" t="s">
        <v>2137</v>
      </c>
      <c r="C17" s="799">
        <v>1.000292</v>
      </c>
      <c r="D17" s="801">
        <f>$D$16/C17</f>
        <v>299704.94415630633</v>
      </c>
      <c r="E17" s="1" t="s">
        <v>823</v>
      </c>
      <c r="F17" s="284">
        <f t="shared" si="0"/>
        <v>1.000292</v>
      </c>
      <c r="L17" s="1"/>
      <c r="M17" s="1"/>
    </row>
    <row r="18" spans="1:13" s="26" customFormat="1">
      <c r="A18" s="1"/>
      <c r="B18" s="798" t="s">
        <v>2138</v>
      </c>
      <c r="C18" s="799" t="s">
        <v>2139</v>
      </c>
      <c r="D18" s="801"/>
      <c r="E18" s="1"/>
      <c r="F18" s="284"/>
      <c r="L18" s="1"/>
      <c r="M18" s="1"/>
    </row>
    <row r="19" spans="1:13" s="26" customFormat="1" ht="14.25">
      <c r="A19" s="1"/>
      <c r="B19" s="802" t="s">
        <v>2140</v>
      </c>
      <c r="C19" s="799">
        <v>0.35</v>
      </c>
      <c r="D19" s="801">
        <f>$D$16/C19</f>
        <v>856549.88</v>
      </c>
      <c r="E19" s="1" t="s">
        <v>823</v>
      </c>
      <c r="F19" s="284">
        <f t="shared" si="0"/>
        <v>0.35</v>
      </c>
      <c r="L19" s="1"/>
      <c r="M19" s="1"/>
    </row>
    <row r="20" spans="1:13" s="26" customFormat="1">
      <c r="A20" s="1"/>
      <c r="B20" s="798" t="s">
        <v>2141</v>
      </c>
      <c r="C20" s="799" t="s">
        <v>2142</v>
      </c>
      <c r="D20" s="801"/>
      <c r="E20" s="1"/>
      <c r="F20" s="284"/>
      <c r="L20" s="1"/>
      <c r="M20" s="1"/>
    </row>
    <row r="21" spans="1:13" s="26" customFormat="1">
      <c r="A21" s="1"/>
      <c r="B21" s="798" t="s">
        <v>2143</v>
      </c>
      <c r="C21" s="799">
        <v>1.31</v>
      </c>
      <c r="D21" s="801">
        <f>$D$16/C21</f>
        <v>228849.20458015264</v>
      </c>
      <c r="E21" s="1" t="s">
        <v>823</v>
      </c>
      <c r="F21" s="284">
        <f t="shared" si="0"/>
        <v>1.31</v>
      </c>
      <c r="L21" s="1"/>
      <c r="M21" s="1"/>
    </row>
    <row r="22" spans="1:13" s="26" customFormat="1">
      <c r="A22" s="1"/>
      <c r="B22" s="798" t="s">
        <v>2144</v>
      </c>
      <c r="C22" s="799">
        <v>1.33</v>
      </c>
      <c r="D22" s="801">
        <f>$D$16/C22</f>
        <v>225407.86315789472</v>
      </c>
      <c r="E22" s="1" t="s">
        <v>823</v>
      </c>
      <c r="F22" s="284">
        <f t="shared" si="0"/>
        <v>1.33</v>
      </c>
      <c r="L22" s="1"/>
      <c r="M22" s="1"/>
    </row>
    <row r="23" spans="1:13" s="26" customFormat="1">
      <c r="A23" s="1"/>
      <c r="B23" s="798" t="s">
        <v>2145</v>
      </c>
      <c r="C23" s="799" t="s">
        <v>2146</v>
      </c>
      <c r="D23" s="801"/>
      <c r="E23" s="1"/>
      <c r="F23" s="284"/>
      <c r="L23" s="1"/>
      <c r="M23" s="1"/>
    </row>
    <row r="24" spans="1:13" s="26" customFormat="1" ht="14.25">
      <c r="A24" s="1"/>
      <c r="B24" s="802" t="s">
        <v>2147</v>
      </c>
      <c r="C24" s="799">
        <v>1.3613999999999999</v>
      </c>
      <c r="D24" s="801">
        <f t="shared" ref="D24:D33" si="1">$D$16/C24</f>
        <v>220208.94520346701</v>
      </c>
      <c r="E24" s="1" t="s">
        <v>823</v>
      </c>
      <c r="F24" s="284">
        <f t="shared" si="0"/>
        <v>1.3613999999999999</v>
      </c>
      <c r="L24" s="1"/>
      <c r="M24" s="1"/>
    </row>
    <row r="25" spans="1:13" s="1" customFormat="1">
      <c r="B25" s="798" t="s">
        <v>2148</v>
      </c>
      <c r="C25" s="799">
        <v>1.38</v>
      </c>
      <c r="D25" s="801">
        <f t="shared" si="1"/>
        <v>217240.91159420292</v>
      </c>
      <c r="E25" s="1" t="s">
        <v>823</v>
      </c>
      <c r="F25" s="284">
        <f t="shared" si="0"/>
        <v>1.38</v>
      </c>
      <c r="K25" s="26"/>
    </row>
    <row r="26" spans="1:13" s="1" customFormat="1">
      <c r="B26" s="802" t="s">
        <v>2149</v>
      </c>
      <c r="C26" s="799">
        <v>1.43</v>
      </c>
      <c r="D26" s="801">
        <f t="shared" si="1"/>
        <v>209645.07552447551</v>
      </c>
      <c r="E26" s="1" t="s">
        <v>823</v>
      </c>
      <c r="F26" s="284">
        <f t="shared" si="0"/>
        <v>1.43</v>
      </c>
      <c r="K26" s="793"/>
    </row>
    <row r="27" spans="1:13" s="1" customFormat="1">
      <c r="B27" s="798" t="s">
        <v>2150</v>
      </c>
      <c r="C27" s="799">
        <v>1.45</v>
      </c>
      <c r="D27" s="801">
        <f t="shared" si="1"/>
        <v>206753.41931034482</v>
      </c>
      <c r="E27" s="1" t="s">
        <v>823</v>
      </c>
      <c r="F27" s="284">
        <f>$D$16/D27</f>
        <v>1.45</v>
      </c>
      <c r="K27" s="26"/>
    </row>
    <row r="28" spans="1:13" s="1" customFormat="1">
      <c r="B28" s="798" t="s">
        <v>2151</v>
      </c>
      <c r="C28" s="799">
        <v>1.46</v>
      </c>
      <c r="D28" s="801">
        <f t="shared" si="1"/>
        <v>205337.3</v>
      </c>
      <c r="E28" s="1" t="s">
        <v>823</v>
      </c>
      <c r="F28" s="284">
        <f t="shared" ref="F28:F58" si="2">$D$16/D28</f>
        <v>1.46</v>
      </c>
      <c r="K28" s="26"/>
    </row>
    <row r="29" spans="1:13" s="1" customFormat="1">
      <c r="B29" s="798" t="s">
        <v>2152</v>
      </c>
      <c r="C29" s="799">
        <v>1.46</v>
      </c>
      <c r="D29" s="801">
        <f t="shared" si="1"/>
        <v>205337.3</v>
      </c>
      <c r="E29" s="1" t="s">
        <v>823</v>
      </c>
      <c r="F29" s="284">
        <f t="shared" si="2"/>
        <v>1.46</v>
      </c>
      <c r="J29" s="165"/>
      <c r="K29" s="26"/>
    </row>
    <row r="30" spans="1:13" s="1" customFormat="1">
      <c r="B30" s="798" t="s">
        <v>2153</v>
      </c>
      <c r="C30" s="799">
        <v>1.4739899999999999</v>
      </c>
      <c r="D30" s="801">
        <f t="shared" si="1"/>
        <v>203388.39340836776</v>
      </c>
      <c r="E30" s="1" t="s">
        <v>823</v>
      </c>
      <c r="F30" s="284">
        <f t="shared" si="2"/>
        <v>1.4739899999999999</v>
      </c>
      <c r="J30" s="165"/>
      <c r="K30" s="26"/>
    </row>
    <row r="31" spans="1:13" s="1" customFormat="1">
      <c r="B31" s="798" t="s">
        <v>2154</v>
      </c>
      <c r="C31" s="799">
        <v>1.48</v>
      </c>
      <c r="D31" s="801">
        <f t="shared" si="1"/>
        <v>202562.4716216216</v>
      </c>
      <c r="E31" s="1" t="s">
        <v>823</v>
      </c>
      <c r="F31" s="284">
        <f t="shared" si="2"/>
        <v>1.48</v>
      </c>
      <c r="J31" s="165"/>
      <c r="K31" s="26"/>
    </row>
    <row r="32" spans="1:13" s="1" customFormat="1">
      <c r="B32" s="798" t="s">
        <v>2155</v>
      </c>
      <c r="C32" s="799">
        <v>1.49</v>
      </c>
      <c r="D32" s="801">
        <f t="shared" si="1"/>
        <v>201202.99194630873</v>
      </c>
      <c r="E32" s="1" t="s">
        <v>823</v>
      </c>
      <c r="F32" s="284">
        <f t="shared" si="2"/>
        <v>1.49</v>
      </c>
      <c r="J32" s="165"/>
      <c r="K32" s="26"/>
    </row>
    <row r="33" spans="2:11" s="1" customFormat="1">
      <c r="B33" s="798" t="s">
        <v>2156</v>
      </c>
      <c r="C33" s="799">
        <v>1.49</v>
      </c>
      <c r="D33" s="801">
        <f t="shared" si="1"/>
        <v>201202.99194630873</v>
      </c>
      <c r="E33" s="1" t="s">
        <v>823</v>
      </c>
      <c r="F33" s="284">
        <f t="shared" si="2"/>
        <v>1.49</v>
      </c>
      <c r="K33" s="26"/>
    </row>
    <row r="34" spans="2:11" s="1" customFormat="1">
      <c r="B34" s="798" t="s">
        <v>2157</v>
      </c>
      <c r="C34" s="799" t="s">
        <v>2158</v>
      </c>
      <c r="D34" s="801"/>
      <c r="F34" s="284"/>
      <c r="K34" s="26"/>
    </row>
    <row r="35" spans="2:11" s="1" customFormat="1">
      <c r="B35" s="798" t="s">
        <v>2159</v>
      </c>
      <c r="C35" s="799">
        <v>1.5229999999999999</v>
      </c>
      <c r="D35" s="801">
        <f t="shared" ref="D35:D41" si="3">$D$16/C35</f>
        <v>196843.3736047275</v>
      </c>
      <c r="E35" s="1" t="s">
        <v>823</v>
      </c>
      <c r="F35" s="284">
        <f t="shared" si="2"/>
        <v>1.5229999999999999</v>
      </c>
      <c r="K35" s="26"/>
    </row>
    <row r="36" spans="2:11" s="1" customFormat="1">
      <c r="B36" s="798" t="s">
        <v>2160</v>
      </c>
      <c r="C36" s="799">
        <v>1.5329999999999999</v>
      </c>
      <c r="D36" s="801">
        <f t="shared" si="3"/>
        <v>195559.33333333334</v>
      </c>
      <c r="E36" s="1" t="s">
        <v>823</v>
      </c>
      <c r="F36" s="284">
        <f t="shared" si="2"/>
        <v>1.5329999999999999</v>
      </c>
      <c r="K36" s="26"/>
    </row>
    <row r="37" spans="2:11" s="1" customFormat="1">
      <c r="B37" s="798" t="s">
        <v>2161</v>
      </c>
      <c r="C37" s="799">
        <v>1.534</v>
      </c>
      <c r="D37" s="801">
        <f t="shared" si="3"/>
        <v>195431.85006518904</v>
      </c>
      <c r="E37" s="1" t="s">
        <v>823</v>
      </c>
      <c r="F37" s="284">
        <f t="shared" si="2"/>
        <v>1.534</v>
      </c>
      <c r="K37" s="26"/>
    </row>
    <row r="38" spans="2:11" s="1" customFormat="1">
      <c r="B38" s="798" t="s">
        <v>2162</v>
      </c>
      <c r="C38" s="799">
        <v>1.54</v>
      </c>
      <c r="D38" s="801">
        <f t="shared" si="3"/>
        <v>194670.42727272725</v>
      </c>
      <c r="E38" s="1" t="s">
        <v>823</v>
      </c>
      <c r="F38" s="284">
        <f t="shared" si="2"/>
        <v>1.54</v>
      </c>
      <c r="K38" s="26"/>
    </row>
    <row r="39" spans="2:11" s="1" customFormat="1">
      <c r="B39" s="798" t="s">
        <v>2163</v>
      </c>
      <c r="C39" s="799">
        <v>1.54</v>
      </c>
      <c r="D39" s="801">
        <f t="shared" si="3"/>
        <v>194670.42727272725</v>
      </c>
      <c r="E39" s="1" t="s">
        <v>823</v>
      </c>
      <c r="F39" s="284">
        <f t="shared" si="2"/>
        <v>1.54</v>
      </c>
      <c r="K39" s="26"/>
    </row>
    <row r="40" spans="2:11" s="1" customFormat="1">
      <c r="B40" s="798" t="s">
        <v>2164</v>
      </c>
      <c r="C40" s="799">
        <v>1.58</v>
      </c>
      <c r="D40" s="801">
        <f t="shared" si="3"/>
        <v>189742.06202531644</v>
      </c>
      <c r="E40" s="1" t="s">
        <v>823</v>
      </c>
      <c r="F40" s="284">
        <f t="shared" si="2"/>
        <v>1.58</v>
      </c>
      <c r="K40" s="26"/>
    </row>
    <row r="41" spans="2:11" s="1" customFormat="1">
      <c r="B41" s="798" t="s">
        <v>2165</v>
      </c>
      <c r="C41" s="799">
        <v>1.585</v>
      </c>
      <c r="D41" s="801">
        <f t="shared" si="3"/>
        <v>189143.50662460568</v>
      </c>
      <c r="E41" s="1" t="s">
        <v>823</v>
      </c>
      <c r="F41" s="284">
        <f t="shared" si="2"/>
        <v>1.585</v>
      </c>
      <c r="K41" s="26"/>
    </row>
    <row r="42" spans="2:11" s="1" customFormat="1">
      <c r="B42" s="798" t="s">
        <v>2166</v>
      </c>
      <c r="C42" s="799" t="s">
        <v>2167</v>
      </c>
      <c r="D42" s="801"/>
      <c r="F42" s="284"/>
      <c r="K42" s="26"/>
    </row>
    <row r="43" spans="2:11" s="1" customFormat="1">
      <c r="B43" s="798" t="s">
        <v>2168</v>
      </c>
      <c r="C43" s="799" t="s">
        <v>2169</v>
      </c>
      <c r="D43" s="801"/>
      <c r="F43" s="284"/>
      <c r="K43" s="26"/>
    </row>
    <row r="44" spans="2:11" s="1" customFormat="1">
      <c r="B44" s="798" t="s">
        <v>2170</v>
      </c>
      <c r="C44" s="799">
        <v>1.63</v>
      </c>
      <c r="D44" s="801">
        <f>$D$16/C44</f>
        <v>183921.75337423314</v>
      </c>
      <c r="E44" s="1" t="s">
        <v>823</v>
      </c>
      <c r="F44" s="284">
        <f t="shared" si="2"/>
        <v>1.63</v>
      </c>
      <c r="K44" s="26"/>
    </row>
    <row r="45" spans="2:11" s="1" customFormat="1">
      <c r="B45" s="798" t="s">
        <v>2171</v>
      </c>
      <c r="C45" s="799" t="s">
        <v>2172</v>
      </c>
      <c r="D45" s="801"/>
      <c r="F45" s="284"/>
      <c r="K45" s="26"/>
    </row>
    <row r="46" spans="2:11" s="1" customFormat="1">
      <c r="B46" s="798" t="s">
        <v>2173</v>
      </c>
      <c r="C46" s="799">
        <v>1.742</v>
      </c>
      <c r="D46" s="801">
        <f>$D$16/C46</f>
        <v>172096.70378874856</v>
      </c>
      <c r="E46" s="1" t="s">
        <v>823</v>
      </c>
      <c r="F46" s="284">
        <f t="shared" si="2"/>
        <v>1.742</v>
      </c>
      <c r="K46" s="26"/>
    </row>
    <row r="47" spans="2:11" s="1" customFormat="1">
      <c r="B47" s="802" t="s">
        <v>2174</v>
      </c>
      <c r="C47" s="799">
        <v>1.76</v>
      </c>
      <c r="D47" s="801">
        <f>$D$16/C47</f>
        <v>170336.62386363634</v>
      </c>
      <c r="E47" s="1" t="s">
        <v>823</v>
      </c>
      <c r="F47" s="284">
        <f t="shared" si="2"/>
        <v>1.7600000000000002</v>
      </c>
      <c r="K47" s="26"/>
    </row>
    <row r="48" spans="2:11" s="1" customFormat="1">
      <c r="B48" s="798" t="s">
        <v>2175</v>
      </c>
      <c r="C48" s="799" t="s">
        <v>2176</v>
      </c>
      <c r="D48" s="801"/>
      <c r="F48" s="284"/>
      <c r="K48" s="26"/>
    </row>
    <row r="49" spans="2:11">
      <c r="B49" s="798" t="s">
        <v>1129</v>
      </c>
      <c r="C49" s="799" t="s">
        <v>2177</v>
      </c>
      <c r="D49" s="801"/>
      <c r="F49" s="284"/>
    </row>
    <row r="50" spans="2:11" s="1" customFormat="1">
      <c r="B50" s="798" t="s">
        <v>2178</v>
      </c>
      <c r="C50" s="799" t="s">
        <v>2179</v>
      </c>
      <c r="D50" s="801"/>
      <c r="F50" s="284"/>
      <c r="K50" s="26"/>
    </row>
    <row r="51" spans="2:11">
      <c r="B51" s="798" t="s">
        <v>2180</v>
      </c>
      <c r="C51" s="799">
        <v>1.92</v>
      </c>
      <c r="D51" s="801">
        <f>$D$16/C51</f>
        <v>156141.90520833334</v>
      </c>
      <c r="E51" s="1" t="s">
        <v>823</v>
      </c>
      <c r="F51" s="284">
        <f t="shared" si="2"/>
        <v>1.92</v>
      </c>
    </row>
    <row r="52" spans="2:11">
      <c r="B52" s="798" t="s">
        <v>2181</v>
      </c>
      <c r="C52" s="799">
        <v>2</v>
      </c>
      <c r="D52" s="801">
        <f>$D$16/C52</f>
        <v>149896.22899999999</v>
      </c>
      <c r="E52" s="1" t="s">
        <v>823</v>
      </c>
      <c r="F52" s="284">
        <f t="shared" si="2"/>
        <v>2</v>
      </c>
    </row>
    <row r="53" spans="2:11" s="1" customFormat="1" ht="15" customHeight="1">
      <c r="B53" s="798" t="s">
        <v>2182</v>
      </c>
      <c r="C53" s="799">
        <v>2.37</v>
      </c>
      <c r="D53" s="801">
        <f>$D$16/C53</f>
        <v>126494.70801687763</v>
      </c>
      <c r="E53" s="1" t="s">
        <v>823</v>
      </c>
      <c r="F53" s="284">
        <f t="shared" si="2"/>
        <v>2.37</v>
      </c>
      <c r="K53" s="26"/>
    </row>
    <row r="54" spans="2:11" s="1" customFormat="1" ht="15" customHeight="1">
      <c r="B54" s="798" t="s">
        <v>2183</v>
      </c>
      <c r="C54" s="799">
        <v>2.42</v>
      </c>
      <c r="D54" s="801">
        <f>$D$16/C54</f>
        <v>123881.18099173553</v>
      </c>
      <c r="E54" s="1" t="s">
        <v>823</v>
      </c>
      <c r="F54" s="284">
        <f t="shared" si="2"/>
        <v>2.42</v>
      </c>
      <c r="G54" s="797"/>
      <c r="K54" s="26"/>
    </row>
    <row r="55" spans="2:11" s="1" customFormat="1">
      <c r="B55" s="798" t="s">
        <v>2184</v>
      </c>
      <c r="C55" s="799">
        <v>2.52</v>
      </c>
      <c r="D55" s="801">
        <f>$D$16/C55</f>
        <v>118965.2611111111</v>
      </c>
      <c r="E55" s="1" t="s">
        <v>823</v>
      </c>
      <c r="F55" s="284">
        <f t="shared" si="2"/>
        <v>2.52</v>
      </c>
      <c r="K55" s="26"/>
    </row>
    <row r="56" spans="2:11" s="1" customFormat="1">
      <c r="B56" s="798" t="s">
        <v>2185</v>
      </c>
      <c r="C56" s="799" t="s">
        <v>2186</v>
      </c>
      <c r="D56" s="801"/>
      <c r="F56" s="284"/>
      <c r="K56" s="26"/>
    </row>
    <row r="57" spans="2:11" s="1" customFormat="1">
      <c r="B57" s="798" t="s">
        <v>2187</v>
      </c>
      <c r="C57" s="799">
        <v>3.1</v>
      </c>
      <c r="D57" s="801">
        <f>$D$16/C57</f>
        <v>96707.244516129023</v>
      </c>
      <c r="E57" s="1" t="s">
        <v>823</v>
      </c>
      <c r="F57" s="284">
        <f t="shared" si="2"/>
        <v>3.1</v>
      </c>
      <c r="K57" s="26"/>
    </row>
    <row r="58" spans="2:11" s="1" customFormat="1">
      <c r="B58" s="798" t="s">
        <v>2188</v>
      </c>
      <c r="C58" s="799">
        <v>3.9</v>
      </c>
      <c r="D58" s="801">
        <f>$D$16/C58</f>
        <v>76869.861025641017</v>
      </c>
      <c r="E58" s="1" t="s">
        <v>823</v>
      </c>
      <c r="F58" s="284">
        <f t="shared" si="2"/>
        <v>3.9000000000000004</v>
      </c>
      <c r="K58" s="26"/>
    </row>
    <row r="59" spans="2:11" s="1" customFormat="1">
      <c r="K59" s="26"/>
    </row>
    <row r="60" spans="2:11" s="1" customFormat="1">
      <c r="K60" s="26"/>
    </row>
    <row r="61" spans="2:11" s="1" customFormat="1">
      <c r="K61" s="26"/>
    </row>
    <row r="62" spans="2:11" s="1" customFormat="1">
      <c r="B62" s="812" t="s">
        <v>2207</v>
      </c>
      <c r="K62" s="26"/>
    </row>
    <row r="63" spans="2:11" s="1" customFormat="1">
      <c r="B63" s="24"/>
      <c r="K63" s="26"/>
    </row>
    <row r="64" spans="2:11" s="1" customFormat="1">
      <c r="B64" s="811" t="s">
        <v>2208</v>
      </c>
      <c r="C64" s="24"/>
      <c r="K64" s="26"/>
    </row>
    <row r="65" spans="2:11" s="1" customFormat="1">
      <c r="B65" s="811" t="s">
        <v>2209</v>
      </c>
      <c r="C65" s="24"/>
      <c r="K65" s="26"/>
    </row>
    <row r="66" spans="2:11" s="1" customFormat="1">
      <c r="B66" s="24"/>
      <c r="C66" s="24"/>
      <c r="K66" s="26"/>
    </row>
    <row r="67" spans="2:11" s="1" customFormat="1">
      <c r="B67" s="811"/>
      <c r="C67" s="24"/>
      <c r="K67" s="26"/>
    </row>
    <row r="68" spans="2:11" s="1" customFormat="1">
      <c r="B68" s="811"/>
      <c r="C68" s="24"/>
      <c r="K68" s="26"/>
    </row>
    <row r="69" spans="2:11" s="1" customFormat="1">
      <c r="C69" s="24"/>
      <c r="K69" s="26"/>
    </row>
    <row r="70" spans="2:11" s="1" customFormat="1">
      <c r="C70" s="24"/>
      <c r="K70" s="26"/>
    </row>
    <row r="71" spans="2:11" s="1" customFormat="1">
      <c r="B71" s="24"/>
      <c r="C71" s="24"/>
      <c r="K71" s="26"/>
    </row>
    <row r="72" spans="2:11" s="1" customFormat="1">
      <c r="K72" s="26"/>
    </row>
    <row r="73" spans="2:11" s="1" customFormat="1">
      <c r="B73" s="807" t="s">
        <v>2248</v>
      </c>
      <c r="K73" s="26"/>
    </row>
    <row r="74" spans="2:11" s="1" customFormat="1">
      <c r="K74" s="26"/>
    </row>
    <row r="75" spans="2:11" s="1" customFormat="1">
      <c r="B75" s="806" t="s">
        <v>2251</v>
      </c>
      <c r="K75" s="26"/>
    </row>
    <row r="76" spans="2:11" s="1" customFormat="1">
      <c r="G76" s="810"/>
      <c r="K76" s="26"/>
    </row>
    <row r="77" spans="2:11" s="1" customFormat="1">
      <c r="B77" s="806" t="s">
        <v>2249</v>
      </c>
      <c r="K77" s="26"/>
    </row>
    <row r="78" spans="2:11" s="1" customFormat="1">
      <c r="B78" s="1" t="s">
        <v>2250</v>
      </c>
      <c r="K78" s="26"/>
    </row>
    <row r="79" spans="2:11" s="1" customFormat="1">
      <c r="B79" s="1" t="s">
        <v>2252</v>
      </c>
      <c r="K79" s="26"/>
    </row>
    <row r="80" spans="2:11" s="1" customFormat="1">
      <c r="K80" s="26"/>
    </row>
    <row r="81" spans="2:11" s="1" customFormat="1">
      <c r="K81" s="26"/>
    </row>
    <row r="82" spans="2:11" s="1" customFormat="1">
      <c r="K82" s="26"/>
    </row>
    <row r="83" spans="2:11" s="1" customFormat="1">
      <c r="K83" s="26"/>
    </row>
    <row r="84" spans="2:11" s="1" customFormat="1">
      <c r="K84" s="26"/>
    </row>
    <row r="85" spans="2:11" s="1" customFormat="1">
      <c r="K85" s="26"/>
    </row>
    <row r="86" spans="2:11" s="1" customFormat="1">
      <c r="K86" s="26"/>
    </row>
    <row r="87" spans="2:11" s="1" customFormat="1">
      <c r="K87" s="26"/>
    </row>
    <row r="88" spans="2:11" s="1" customFormat="1">
      <c r="K88" s="26"/>
    </row>
    <row r="89" spans="2:11" s="1" customFormat="1">
      <c r="K89" s="26"/>
    </row>
    <row r="90" spans="2:11" s="1" customFormat="1">
      <c r="K90" s="26"/>
    </row>
    <row r="91" spans="2:11" s="1" customFormat="1">
      <c r="K91" s="26"/>
    </row>
    <row r="92" spans="2:11" s="1" customFormat="1">
      <c r="K92" s="26"/>
    </row>
    <row r="93" spans="2:11" s="1" customFormat="1">
      <c r="K93" s="26"/>
    </row>
    <row r="94" spans="2:11" s="1" customFormat="1">
      <c r="K94" s="26"/>
    </row>
    <row r="96" spans="2:11" s="1" customFormat="1">
      <c r="B96" s="375"/>
      <c r="C96" s="26"/>
      <c r="K96" s="26"/>
    </row>
    <row r="97" spans="1:13" s="1" customFormat="1">
      <c r="B97" s="375"/>
      <c r="C97" s="26"/>
      <c r="K97" s="26"/>
    </row>
    <row r="101" spans="1:13" s="26" customFormat="1">
      <c r="A101" s="1"/>
      <c r="B101" s="24"/>
      <c r="D101" s="1"/>
      <c r="E101" s="1"/>
      <c r="F101" s="1"/>
      <c r="G101" s="1"/>
      <c r="H101" s="1"/>
      <c r="I101" s="1"/>
      <c r="J101" s="1"/>
      <c r="L101" s="1"/>
      <c r="M101" s="1"/>
    </row>
    <row r="102" spans="1:13" s="26" customFormat="1">
      <c r="A102" s="1"/>
      <c r="B102" s="24"/>
      <c r="D102" s="1"/>
      <c r="E102" s="1"/>
      <c r="F102" s="1"/>
      <c r="G102" s="1"/>
      <c r="I102" s="1"/>
      <c r="J102" s="1"/>
      <c r="L102" s="1"/>
      <c r="M102" s="1"/>
    </row>
    <row r="103" spans="1:13" s="26" customFormat="1">
      <c r="A103" s="1"/>
      <c r="B103" s="24" t="s">
        <v>2189</v>
      </c>
      <c r="D103" s="1"/>
      <c r="E103" s="1"/>
      <c r="F103" s="1"/>
      <c r="G103" s="1"/>
      <c r="I103" s="1"/>
      <c r="J103" s="1"/>
      <c r="K103" s="1"/>
      <c r="L103" s="1"/>
      <c r="M103" s="1"/>
    </row>
    <row r="104" spans="1:13" s="26" customFormat="1">
      <c r="A104" s="1"/>
      <c r="B104" s="24" t="s">
        <v>2190</v>
      </c>
      <c r="D104" s="1"/>
      <c r="E104" s="1"/>
      <c r="F104" s="1"/>
      <c r="G104" s="1"/>
      <c r="I104" s="1"/>
      <c r="J104" s="1"/>
      <c r="K104" s="1"/>
      <c r="L104" s="1"/>
      <c r="M104" s="1"/>
    </row>
    <row r="105" spans="1:13" s="26" customFormat="1">
      <c r="A105" s="1"/>
      <c r="B105" s="24" t="s">
        <v>2191</v>
      </c>
      <c r="D105" s="1"/>
      <c r="E105" s="1"/>
      <c r="F105" s="1"/>
      <c r="G105" s="1"/>
      <c r="I105" s="1"/>
      <c r="J105" s="1"/>
      <c r="K105" s="1"/>
      <c r="L105" s="1"/>
      <c r="M105" s="1"/>
    </row>
    <row r="106" spans="1:13" s="26" customFormat="1">
      <c r="A106" s="1"/>
      <c r="B106" s="24" t="s">
        <v>2192</v>
      </c>
      <c r="D106" s="1"/>
      <c r="E106" s="1"/>
      <c r="F106" s="1"/>
      <c r="G106" s="1"/>
      <c r="I106" s="1"/>
      <c r="J106" s="1"/>
      <c r="K106" s="1"/>
      <c r="L106" s="1"/>
      <c r="M106" s="1"/>
    </row>
    <row r="107" spans="1:13" s="26" customFormat="1">
      <c r="A107" s="1"/>
      <c r="B107" s="24"/>
      <c r="D107" s="1"/>
      <c r="E107" s="1"/>
      <c r="F107" s="1"/>
      <c r="G107" s="1"/>
      <c r="I107" s="1"/>
      <c r="J107" s="1"/>
      <c r="K107" s="1"/>
      <c r="L107" s="1"/>
      <c r="M107" s="1"/>
    </row>
    <row r="108" spans="1:13" s="26" customFormat="1">
      <c r="A108" s="1"/>
      <c r="B108" s="165" t="s">
        <v>2260</v>
      </c>
      <c r="C108" s="813">
        <v>1.33</v>
      </c>
      <c r="D108" s="1"/>
      <c r="E108" s="1"/>
      <c r="F108" s="1"/>
      <c r="G108" s="1"/>
      <c r="I108" s="1"/>
      <c r="J108" s="1"/>
      <c r="K108" s="1"/>
      <c r="L108" s="1"/>
      <c r="M108" s="1"/>
    </row>
    <row r="109" spans="1:13" s="26" customFormat="1">
      <c r="A109" s="1"/>
      <c r="B109" s="165" t="s">
        <v>2261</v>
      </c>
      <c r="C109" s="813">
        <v>1.52</v>
      </c>
      <c r="D109" s="1"/>
      <c r="E109" s="1"/>
      <c r="F109" s="1"/>
      <c r="G109" s="1"/>
      <c r="I109" s="1"/>
      <c r="J109" s="1"/>
      <c r="K109" s="1"/>
      <c r="L109" s="1"/>
      <c r="M109" s="1"/>
    </row>
    <row r="110" spans="1:13" s="26" customFormat="1">
      <c r="A110" s="1"/>
      <c r="B110" s="165" t="s">
        <v>2264</v>
      </c>
      <c r="C110" s="235">
        <v>38</v>
      </c>
      <c r="D110" s="1" t="s">
        <v>2253</v>
      </c>
      <c r="E110" s="1"/>
      <c r="F110" s="1"/>
      <c r="G110" s="1"/>
      <c r="I110" s="1"/>
      <c r="J110" s="1"/>
      <c r="K110" s="1"/>
      <c r="L110" s="1"/>
      <c r="M110" s="1"/>
    </row>
    <row r="111" spans="1:13" s="26" customFormat="1">
      <c r="A111" s="1"/>
      <c r="B111" s="165"/>
      <c r="C111" s="1"/>
      <c r="D111" s="1"/>
      <c r="E111" s="1"/>
      <c r="F111" s="1"/>
      <c r="G111" s="1"/>
      <c r="I111" s="1"/>
      <c r="J111" s="1"/>
      <c r="K111" s="1"/>
      <c r="L111" s="1"/>
      <c r="M111" s="1"/>
    </row>
    <row r="112" spans="1:13" s="26" customFormat="1">
      <c r="A112" s="1"/>
      <c r="B112" s="165" t="s">
        <v>2223</v>
      </c>
      <c r="C112" s="678">
        <f>RADIANS(C110)</f>
        <v>0.66322511575784526</v>
      </c>
      <c r="D112" s="1"/>
      <c r="E112" s="1"/>
      <c r="F112" s="1"/>
      <c r="G112" s="1"/>
      <c r="I112" s="1"/>
      <c r="J112" s="1"/>
      <c r="K112" s="1"/>
      <c r="L112" s="1"/>
      <c r="M112" s="1"/>
    </row>
    <row r="113" spans="1:13" s="26" customFormat="1">
      <c r="A113" s="1"/>
      <c r="B113" s="165" t="s">
        <v>2254</v>
      </c>
      <c r="C113" s="1">
        <f>SIN(C112)</f>
        <v>0.61566147532565829</v>
      </c>
      <c r="D113" s="1"/>
      <c r="E113" s="1"/>
      <c r="F113" s="1"/>
      <c r="G113" s="1"/>
      <c r="I113" s="1"/>
      <c r="J113" s="1"/>
      <c r="K113" s="1"/>
      <c r="L113" s="1"/>
      <c r="M113" s="1"/>
    </row>
    <row r="114" spans="1:13" s="26" customFormat="1">
      <c r="A114" s="1"/>
      <c r="B114" s="165"/>
      <c r="C114" s="1"/>
      <c r="D114" s="1"/>
      <c r="E114" s="1"/>
      <c r="F114" s="1"/>
      <c r="G114" s="1"/>
      <c r="I114" s="1"/>
      <c r="J114" s="1"/>
      <c r="K114" s="1"/>
      <c r="L114" s="1"/>
      <c r="M114" s="1"/>
    </row>
    <row r="115" spans="1:13" s="26" customFormat="1">
      <c r="A115" s="1"/>
      <c r="B115" s="165" t="s">
        <v>2255</v>
      </c>
      <c r="C115" s="1">
        <f>C113*C108/C109</f>
        <v>0.53870379090995102</v>
      </c>
      <c r="D115" s="1"/>
      <c r="E115" s="1"/>
      <c r="F115" s="1"/>
      <c r="G115" s="1"/>
      <c r="I115" s="1"/>
      <c r="J115" s="1"/>
      <c r="K115" s="1"/>
      <c r="L115" s="1"/>
      <c r="M115" s="1"/>
    </row>
    <row r="116" spans="1:13" s="26" customFormat="1">
      <c r="A116" s="1"/>
      <c r="B116" s="165" t="s">
        <v>2256</v>
      </c>
      <c r="C116" s="1">
        <f>ASIN(C115)</f>
        <v>0.56889781546298701</v>
      </c>
      <c r="D116" s="1"/>
      <c r="E116" s="1"/>
      <c r="F116" s="1"/>
      <c r="G116" s="1"/>
      <c r="I116" s="1"/>
      <c r="J116" s="1"/>
      <c r="K116" s="1"/>
      <c r="L116" s="1"/>
      <c r="M116" s="1"/>
    </row>
    <row r="117" spans="1:13" s="26" customFormat="1">
      <c r="A117" s="1"/>
      <c r="B117" s="165" t="s">
        <v>2257</v>
      </c>
      <c r="C117" s="1">
        <f>DEGREES(C116)</f>
        <v>32.595443800241497</v>
      </c>
      <c r="D117" s="1" t="s">
        <v>2253</v>
      </c>
      <c r="E117" s="1"/>
      <c r="F117" s="1"/>
      <c r="G117" s="1"/>
      <c r="I117" s="1"/>
      <c r="J117" s="1"/>
      <c r="K117" s="1"/>
      <c r="L117" s="1"/>
      <c r="M117" s="1"/>
    </row>
    <row r="118" spans="1:13" s="26" customFormat="1">
      <c r="A118" s="1"/>
      <c r="B118" s="165"/>
      <c r="C118" s="1"/>
      <c r="D118" s="1"/>
      <c r="E118" s="1"/>
      <c r="F118" s="1"/>
      <c r="G118" s="1"/>
      <c r="I118" s="1"/>
      <c r="J118" s="1"/>
      <c r="K118" s="1"/>
      <c r="L118" s="1"/>
      <c r="M118" s="1"/>
    </row>
    <row r="119" spans="1:13" s="26" customFormat="1">
      <c r="A119" s="1"/>
      <c r="B119" s="243" t="s">
        <v>2263</v>
      </c>
      <c r="C119" s="1"/>
      <c r="D119" s="1"/>
      <c r="E119" s="1"/>
      <c r="F119" s="1"/>
      <c r="G119" s="1"/>
      <c r="I119" s="1"/>
      <c r="J119" s="1"/>
      <c r="K119" s="1"/>
      <c r="L119" s="1"/>
      <c r="M119" s="1"/>
    </row>
    <row r="120" spans="1:13" s="26" customFormat="1">
      <c r="A120" s="1"/>
      <c r="B120" s="165" t="s">
        <v>2258</v>
      </c>
      <c r="C120" s="1"/>
      <c r="D120" s="1"/>
      <c r="E120" s="1"/>
      <c r="F120" s="1"/>
      <c r="G120" s="1"/>
      <c r="I120" s="1"/>
      <c r="J120" s="1"/>
      <c r="K120" s="1"/>
      <c r="L120" s="1"/>
      <c r="M120" s="1"/>
    </row>
    <row r="121" spans="1:13" s="26" customFormat="1">
      <c r="A121" s="1"/>
      <c r="B121" s="165"/>
      <c r="C121" s="1"/>
      <c r="D121" s="1"/>
      <c r="E121" s="1"/>
      <c r="F121" s="1"/>
      <c r="G121" s="1"/>
      <c r="I121" s="1"/>
      <c r="J121" s="1"/>
      <c r="K121" s="1"/>
      <c r="L121" s="1"/>
      <c r="M121" s="1"/>
    </row>
    <row r="122" spans="1:13" s="26" customFormat="1">
      <c r="A122" s="1"/>
      <c r="B122" s="165" t="s">
        <v>2259</v>
      </c>
      <c r="C122" s="292">
        <f>C109</f>
        <v>1.52</v>
      </c>
      <c r="D122" s="1"/>
      <c r="E122" s="1"/>
      <c r="F122" s="1"/>
      <c r="G122" s="1"/>
      <c r="I122" s="1"/>
      <c r="J122" s="1"/>
      <c r="K122" s="1"/>
      <c r="L122" s="1"/>
      <c r="M122" s="1"/>
    </row>
    <row r="123" spans="1:13" s="26" customFormat="1">
      <c r="A123" s="1"/>
      <c r="B123" s="165" t="s">
        <v>2219</v>
      </c>
      <c r="C123" s="292">
        <f>C108</f>
        <v>1.33</v>
      </c>
      <c r="D123" s="1"/>
      <c r="E123" s="1"/>
      <c r="F123" s="1"/>
      <c r="G123" s="1"/>
      <c r="I123" s="1"/>
      <c r="J123" s="1"/>
      <c r="K123" s="1"/>
      <c r="L123" s="1"/>
      <c r="M123" s="1"/>
    </row>
    <row r="124" spans="1:13">
      <c r="B124" s="165" t="s">
        <v>2262</v>
      </c>
      <c r="C124" s="1">
        <f>C117</f>
        <v>32.595443800241497</v>
      </c>
      <c r="D124" s="1" t="s">
        <v>2253</v>
      </c>
      <c r="K124" s="1"/>
    </row>
    <row r="125" spans="1:13">
      <c r="K125" s="1"/>
    </row>
    <row r="126" spans="1:13">
      <c r="B126" s="165" t="s">
        <v>2223</v>
      </c>
      <c r="C126" s="678">
        <f>RADIANS(C124)</f>
        <v>0.56889781546298701</v>
      </c>
      <c r="K126" s="1"/>
    </row>
    <row r="127" spans="1:13">
      <c r="B127" s="165" t="s">
        <v>2254</v>
      </c>
      <c r="C127" s="1">
        <f>SIN(C126)</f>
        <v>0.53870379090995113</v>
      </c>
      <c r="K127" s="1"/>
    </row>
    <row r="128" spans="1:13">
      <c r="B128" s="165"/>
      <c r="C128" s="1"/>
      <c r="K128" s="1"/>
    </row>
    <row r="129" spans="1:13">
      <c r="B129" s="165" t="s">
        <v>2255</v>
      </c>
      <c r="C129" s="1">
        <f>C127*C122/C123</f>
        <v>0.6156614753256584</v>
      </c>
      <c r="K129" s="1"/>
    </row>
    <row r="130" spans="1:13">
      <c r="B130" s="165" t="s">
        <v>2256</v>
      </c>
      <c r="C130" s="1">
        <f>ASIN(C129)</f>
        <v>0.66322511575784548</v>
      </c>
      <c r="K130" s="1"/>
    </row>
    <row r="131" spans="1:13">
      <c r="B131" s="165" t="s">
        <v>2257</v>
      </c>
      <c r="C131" s="1">
        <f>DEGREES(C130)</f>
        <v>38.000000000000014</v>
      </c>
      <c r="D131" s="1" t="s">
        <v>2253</v>
      </c>
      <c r="K131" s="1"/>
    </row>
    <row r="132" spans="1:13">
      <c r="K132" s="1"/>
      <c r="L132" s="165"/>
    </row>
    <row r="133" spans="1:13">
      <c r="K133" s="1"/>
      <c r="L133" s="165"/>
    </row>
    <row r="134" spans="1:13">
      <c r="K134" s="1"/>
      <c r="L134" s="165"/>
    </row>
    <row r="135" spans="1:13">
      <c r="B135" s="786" t="s">
        <v>2265</v>
      </c>
      <c r="K135" s="1"/>
      <c r="L135" s="165"/>
    </row>
    <row r="136" spans="1:13">
      <c r="B136" s="786" t="s">
        <v>2213</v>
      </c>
      <c r="K136" s="1"/>
      <c r="L136" s="165"/>
    </row>
    <row r="137" spans="1:13">
      <c r="B137" s="786" t="s">
        <v>2268</v>
      </c>
      <c r="K137" s="1"/>
      <c r="L137" s="165"/>
    </row>
    <row r="138" spans="1:13">
      <c r="K138" s="1"/>
      <c r="L138" s="165"/>
    </row>
    <row r="139" spans="1:13">
      <c r="K139" s="1"/>
      <c r="L139" s="165"/>
    </row>
    <row r="140" spans="1:13" s="26" customFormat="1">
      <c r="A140" s="1"/>
      <c r="B140" s="56" t="s">
        <v>2266</v>
      </c>
      <c r="C140" s="803">
        <v>1.000292</v>
      </c>
      <c r="D140"/>
      <c r="E140"/>
      <c r="F140"/>
      <c r="G140" s="1"/>
      <c r="H140" s="1" t="s">
        <v>2125</v>
      </c>
      <c r="I140" s="1"/>
      <c r="J140" s="1"/>
      <c r="K140" s="1"/>
      <c r="L140" s="165"/>
      <c r="M140" s="1"/>
    </row>
    <row r="141" spans="1:13" s="26" customFormat="1">
      <c r="A141" s="1"/>
      <c r="B141" s="56" t="s">
        <v>2267</v>
      </c>
      <c r="C141" s="804">
        <v>1.56</v>
      </c>
      <c r="D141"/>
      <c r="E141"/>
      <c r="F141"/>
      <c r="G141" s="1"/>
      <c r="H141" s="1"/>
      <c r="I141" s="1"/>
      <c r="J141" s="1"/>
      <c r="K141" s="1"/>
      <c r="L141" s="165"/>
      <c r="M141" s="1"/>
    </row>
    <row r="142" spans="1:13" s="26" customFormat="1">
      <c r="A142" s="1"/>
      <c r="B142" s="56" t="s">
        <v>2193</v>
      </c>
      <c r="C142" s="804">
        <v>28</v>
      </c>
      <c r="D142" t="s">
        <v>1846</v>
      </c>
      <c r="E142"/>
      <c r="F142"/>
      <c r="G142" s="1"/>
      <c r="H142" s="1" t="s">
        <v>2127</v>
      </c>
      <c r="I142" s="1"/>
      <c r="J142" s="1"/>
      <c r="K142" s="1"/>
      <c r="L142" s="165"/>
      <c r="M142" s="1"/>
    </row>
    <row r="143" spans="1:13" s="26" customFormat="1">
      <c r="A143" s="1"/>
      <c r="B143" s="56" t="s">
        <v>2194</v>
      </c>
      <c r="C143" s="805">
        <v>299792458</v>
      </c>
      <c r="D143" t="s">
        <v>823</v>
      </c>
      <c r="E143"/>
      <c r="F143"/>
      <c r="G143" s="1"/>
      <c r="H143" s="1" t="s">
        <v>2129</v>
      </c>
      <c r="I143" s="1"/>
      <c r="J143" s="1"/>
      <c r="K143" s="1"/>
      <c r="L143" s="287"/>
      <c r="M143" s="1"/>
    </row>
    <row r="144" spans="1:13" s="26" customFormat="1">
      <c r="A144" s="1"/>
      <c r="B144" s="56"/>
      <c r="C144"/>
      <c r="D144"/>
      <c r="E144"/>
      <c r="F144"/>
      <c r="G144" s="1"/>
      <c r="H144" s="1"/>
      <c r="I144" s="1"/>
      <c r="J144" s="1"/>
      <c r="K144" s="1"/>
      <c r="L144" s="165"/>
      <c r="M144" s="1"/>
    </row>
    <row r="145" spans="1:13" s="26" customFormat="1">
      <c r="A145" s="1"/>
      <c r="B145" s="318" t="s">
        <v>2195</v>
      </c>
      <c r="C145"/>
      <c r="D145"/>
      <c r="E145" s="806"/>
      <c r="F145"/>
      <c r="G145"/>
      <c r="H145"/>
      <c r="I145"/>
      <c r="J145"/>
      <c r="L145" s="1"/>
      <c r="M145" s="1"/>
    </row>
    <row r="146" spans="1:13" s="26" customFormat="1">
      <c r="A146" s="1"/>
      <c r="B146" s="56"/>
      <c r="C146"/>
      <c r="D146"/>
      <c r="E146" s="806"/>
      <c r="F146"/>
      <c r="G146"/>
      <c r="H146"/>
      <c r="I146"/>
      <c r="J146"/>
      <c r="L146" s="1"/>
      <c r="M146" s="1"/>
    </row>
    <row r="147" spans="1:13" s="26" customFormat="1">
      <c r="A147" s="1"/>
      <c r="B147" s="56" t="s">
        <v>2196</v>
      </c>
      <c r="C147">
        <f>RADIANS(C142)</f>
        <v>0.48869219055841229</v>
      </c>
      <c r="D147"/>
      <c r="E147" s="807" t="s">
        <v>2197</v>
      </c>
      <c r="F147"/>
      <c r="G147"/>
      <c r="H147"/>
      <c r="I147"/>
      <c r="J147"/>
      <c r="L147" s="1"/>
      <c r="M147" s="1"/>
    </row>
    <row r="148" spans="1:13" s="26" customFormat="1">
      <c r="A148" s="1"/>
      <c r="B148" s="56" t="s">
        <v>2198</v>
      </c>
      <c r="C148">
        <f>SIN(C147)</f>
        <v>0.46947156278589081</v>
      </c>
      <c r="D148"/>
      <c r="E148" s="806" t="s">
        <v>2199</v>
      </c>
      <c r="F148"/>
      <c r="G148"/>
      <c r="H148"/>
      <c r="I148"/>
      <c r="J148"/>
      <c r="L148" s="1"/>
      <c r="M148" s="1"/>
    </row>
    <row r="149" spans="1:13" s="26" customFormat="1">
      <c r="A149" s="1"/>
      <c r="B149" s="56"/>
      <c r="C149"/>
      <c r="D149"/>
      <c r="E149" s="806" t="s">
        <v>2200</v>
      </c>
      <c r="F149"/>
      <c r="G149"/>
      <c r="H149"/>
      <c r="I149"/>
      <c r="J149"/>
      <c r="L149" s="1"/>
      <c r="M149" s="1"/>
    </row>
    <row r="150" spans="1:13" s="26" customFormat="1">
      <c r="A150" s="1"/>
      <c r="B150" s="56" t="s">
        <v>2201</v>
      </c>
      <c r="C150">
        <f>C148*C140/C141</f>
        <v>0.30103118492450276</v>
      </c>
      <c r="D150"/>
      <c r="E150"/>
      <c r="F150"/>
      <c r="G150"/>
      <c r="H150"/>
      <c r="I150"/>
      <c r="J150"/>
      <c r="L150" s="1"/>
      <c r="M150" s="1"/>
    </row>
    <row r="151" spans="1:13" s="26" customFormat="1">
      <c r="A151" s="1"/>
      <c r="B151" s="56" t="s">
        <v>2202</v>
      </c>
      <c r="C151">
        <f>ASIN(C150)</f>
        <v>0.30577381354817612</v>
      </c>
      <c r="D151"/>
      <c r="E151" s="806" t="s">
        <v>2203</v>
      </c>
      <c r="F151"/>
      <c r="G151"/>
      <c r="H151"/>
      <c r="I151"/>
      <c r="J151"/>
      <c r="L151" s="1"/>
      <c r="M151" s="1"/>
    </row>
    <row r="152" spans="1:13" s="26" customFormat="1">
      <c r="A152" s="1"/>
      <c r="B152" s="56" t="s">
        <v>2204</v>
      </c>
      <c r="C152">
        <f>DEGREES(C151)</f>
        <v>17.519549001930642</v>
      </c>
      <c r="D152" t="s">
        <v>1846</v>
      </c>
      <c r="E152" s="806" t="s">
        <v>2205</v>
      </c>
      <c r="F152"/>
      <c r="G152"/>
      <c r="H152"/>
      <c r="I152"/>
      <c r="J152"/>
      <c r="L152" s="1"/>
      <c r="M152" s="1"/>
    </row>
    <row r="153" spans="1:13" s="26" customFormat="1">
      <c r="A153" s="1"/>
      <c r="B153" s="56"/>
      <c r="C153"/>
      <c r="D153"/>
      <c r="E153" s="806"/>
      <c r="F153"/>
      <c r="G153"/>
      <c r="H153"/>
      <c r="I153"/>
      <c r="J153"/>
      <c r="L153" s="1"/>
      <c r="M153" s="1"/>
    </row>
    <row r="154" spans="1:13" s="26" customFormat="1">
      <c r="A154" s="1"/>
      <c r="B154" s="318" t="s">
        <v>2206</v>
      </c>
      <c r="C154"/>
      <c r="D154"/>
      <c r="E154"/>
      <c r="F154"/>
      <c r="G154"/>
      <c r="H154"/>
      <c r="I154"/>
      <c r="J154"/>
      <c r="L154" s="1"/>
      <c r="M154" s="1"/>
    </row>
    <row r="155" spans="1:13" s="26" customFormat="1">
      <c r="A155" s="1"/>
      <c r="B155" s="369"/>
      <c r="C155"/>
      <c r="D155"/>
      <c r="E155" s="807" t="s">
        <v>2207</v>
      </c>
      <c r="F155"/>
      <c r="G155"/>
      <c r="H155"/>
      <c r="I155"/>
      <c r="J155"/>
      <c r="L155" s="1"/>
      <c r="M155" s="1"/>
    </row>
    <row r="156" spans="1:13" s="26" customFormat="1">
      <c r="A156" s="1"/>
      <c r="B156" s="56" t="s">
        <v>2269</v>
      </c>
      <c r="C156" s="118">
        <f>C143/C140</f>
        <v>299704944.15630639</v>
      </c>
      <c r="D156" t="s">
        <v>823</v>
      </c>
      <c r="E156" s="806" t="s">
        <v>2208</v>
      </c>
      <c r="F156"/>
      <c r="G156"/>
      <c r="H156"/>
      <c r="I156"/>
      <c r="J156"/>
      <c r="L156" s="1"/>
      <c r="M156" s="1"/>
    </row>
    <row r="157" spans="1:13" s="26" customFormat="1">
      <c r="A157" s="1"/>
      <c r="B157" s="56" t="s">
        <v>2270</v>
      </c>
      <c r="C157">
        <f>C143/C141</f>
        <v>192174652.56410256</v>
      </c>
      <c r="D157" t="s">
        <v>823</v>
      </c>
      <c r="E157" s="806" t="s">
        <v>2209</v>
      </c>
      <c r="F157"/>
      <c r="G157"/>
      <c r="H157"/>
      <c r="I157"/>
      <c r="J157"/>
      <c r="L157" s="1"/>
      <c r="M157" s="1"/>
    </row>
    <row r="158" spans="1:13" s="26" customFormat="1">
      <c r="A158" s="1"/>
      <c r="B158" s="369"/>
      <c r="C158"/>
      <c r="D158"/>
      <c r="E158"/>
      <c r="F158"/>
      <c r="G158"/>
      <c r="H158"/>
      <c r="I158"/>
      <c r="J158"/>
      <c r="L158" s="1"/>
      <c r="M158" s="1"/>
    </row>
    <row r="159" spans="1:13" s="26" customFormat="1">
      <c r="A159" s="1"/>
      <c r="B159" s="369"/>
      <c r="C159"/>
      <c r="D159"/>
      <c r="E159"/>
      <c r="F159"/>
      <c r="G159"/>
      <c r="H159"/>
      <c r="I159"/>
      <c r="J159"/>
      <c r="L159" s="1"/>
      <c r="M159" s="1"/>
    </row>
    <row r="160" spans="1:13" s="26" customFormat="1">
      <c r="A160" s="1"/>
      <c r="B160" s="369"/>
      <c r="C160"/>
      <c r="D160"/>
      <c r="E160"/>
      <c r="F160"/>
      <c r="G160"/>
      <c r="H160"/>
      <c r="I160"/>
      <c r="J160"/>
      <c r="L160" s="1"/>
      <c r="M160" s="1"/>
    </row>
    <row r="161" spans="1:13" s="26" customFormat="1">
      <c r="A161" s="1"/>
      <c r="B161" s="369"/>
      <c r="C161"/>
      <c r="D161"/>
      <c r="E161"/>
      <c r="F161"/>
      <c r="G161"/>
      <c r="H161"/>
      <c r="I161"/>
      <c r="J161"/>
      <c r="L161" s="1"/>
      <c r="M161" s="1"/>
    </row>
    <row r="162" spans="1:13" s="26" customFormat="1">
      <c r="A162" s="1"/>
      <c r="B162" s="369" t="s">
        <v>2386</v>
      </c>
      <c r="C162"/>
      <c r="D162"/>
      <c r="E162"/>
      <c r="F162"/>
      <c r="G162"/>
      <c r="H162"/>
      <c r="I162"/>
      <c r="J162"/>
      <c r="L162" s="1"/>
      <c r="M162" s="1"/>
    </row>
    <row r="163" spans="1:13" s="26" customFormat="1">
      <c r="A163" s="1"/>
      <c r="B163" s="369" t="s">
        <v>2387</v>
      </c>
      <c r="C163"/>
      <c r="D163"/>
      <c r="E163"/>
      <c r="F163"/>
      <c r="G163"/>
      <c r="H163"/>
      <c r="I163"/>
      <c r="J163"/>
      <c r="L163" s="1"/>
      <c r="M163" s="1"/>
    </row>
    <row r="164" spans="1:13" s="26" customFormat="1">
      <c r="A164" s="1"/>
      <c r="B164" s="369" t="s">
        <v>2388</v>
      </c>
      <c r="C164"/>
      <c r="D164"/>
      <c r="E164"/>
      <c r="F164"/>
      <c r="G164"/>
      <c r="H164"/>
      <c r="I164"/>
      <c r="J164"/>
      <c r="L164" s="1"/>
      <c r="M164" s="1"/>
    </row>
    <row r="165" spans="1:13" s="26" customFormat="1">
      <c r="A165" s="1"/>
      <c r="B165" s="369" t="s">
        <v>2389</v>
      </c>
      <c r="C165"/>
      <c r="D165"/>
      <c r="E165"/>
      <c r="F165"/>
      <c r="G165"/>
      <c r="H165"/>
      <c r="I165"/>
      <c r="J165"/>
      <c r="L165" s="1"/>
      <c r="M165" s="1"/>
    </row>
    <row r="166" spans="1:13" s="26" customFormat="1">
      <c r="A166" s="1"/>
      <c r="B166" s="369" t="s">
        <v>2390</v>
      </c>
      <c r="C166"/>
      <c r="D166"/>
      <c r="E166"/>
      <c r="F166"/>
      <c r="G166"/>
      <c r="H166"/>
      <c r="I166"/>
      <c r="J166"/>
      <c r="L166" s="1"/>
      <c r="M166" s="1"/>
    </row>
    <row r="167" spans="1:13" s="26" customFormat="1">
      <c r="A167" s="1"/>
      <c r="B167"/>
      <c r="C167"/>
      <c r="D167"/>
      <c r="E167"/>
      <c r="F167"/>
      <c r="G167"/>
      <c r="H167"/>
      <c r="I167"/>
      <c r="J167"/>
      <c r="L167" s="1"/>
      <c r="M167" s="1"/>
    </row>
    <row r="168" spans="1:13" s="26" customFormat="1">
      <c r="A168" s="1"/>
      <c r="B168" s="369" t="s">
        <v>2391</v>
      </c>
      <c r="C168" s="291">
        <v>262589</v>
      </c>
      <c r="D168" t="s">
        <v>823</v>
      </c>
      <c r="E168"/>
      <c r="F168"/>
      <c r="G168"/>
      <c r="H168"/>
      <c r="I168"/>
      <c r="J168"/>
      <c r="L168" s="1"/>
      <c r="M168" s="1"/>
    </row>
    <row r="169" spans="1:13" s="26" customFormat="1">
      <c r="A169" s="1"/>
      <c r="B169" s="369" t="s">
        <v>2392</v>
      </c>
      <c r="C169">
        <f>300000/C168</f>
        <v>1.1424697911946045</v>
      </c>
      <c r="D169"/>
      <c r="E169"/>
      <c r="F169"/>
      <c r="G169"/>
      <c r="H169"/>
      <c r="I169"/>
      <c r="J169"/>
      <c r="L169" s="1"/>
      <c r="M169" s="1"/>
    </row>
    <row r="170" spans="1:13" s="26" customFormat="1">
      <c r="A170" s="1"/>
      <c r="B170"/>
      <c r="C170"/>
      <c r="D170"/>
      <c r="E170"/>
      <c r="F170"/>
      <c r="G170"/>
      <c r="H170"/>
      <c r="I170"/>
      <c r="J170"/>
      <c r="L170" s="1"/>
      <c r="M170" s="1"/>
    </row>
    <row r="171" spans="1:13" s="26" customFormat="1">
      <c r="A171" s="1"/>
      <c r="B171" t="s">
        <v>2393</v>
      </c>
      <c r="C171"/>
      <c r="D171"/>
      <c r="E171"/>
      <c r="F171"/>
      <c r="G171"/>
      <c r="H171"/>
      <c r="I171"/>
      <c r="J171"/>
      <c r="L171" s="1"/>
      <c r="M171" s="1"/>
    </row>
    <row r="172" spans="1:13" s="26" customFormat="1">
      <c r="A172" s="1"/>
      <c r="B172"/>
      <c r="C172"/>
      <c r="D172"/>
      <c r="E172"/>
      <c r="F172"/>
      <c r="G172"/>
      <c r="H172"/>
      <c r="I172"/>
      <c r="J172"/>
      <c r="L172" s="1"/>
      <c r="M172" s="1"/>
    </row>
    <row r="173" spans="1:13" s="26" customFormat="1">
      <c r="A173" s="1"/>
      <c r="B173" s="56" t="s">
        <v>2394</v>
      </c>
      <c r="C173" s="291">
        <v>32</v>
      </c>
      <c r="D173" t="s">
        <v>1846</v>
      </c>
      <c r="E173"/>
      <c r="F173"/>
      <c r="G173"/>
      <c r="H173"/>
      <c r="I173"/>
      <c r="J173"/>
      <c r="L173" s="1"/>
      <c r="M173" s="1"/>
    </row>
    <row r="174" spans="1:13" s="26" customFormat="1">
      <c r="A174" s="1"/>
      <c r="B174" s="56" t="s">
        <v>2395</v>
      </c>
      <c r="C174">
        <f>RADIANS(C173)</f>
        <v>0.55850536063818546</v>
      </c>
      <c r="D174"/>
      <c r="E174"/>
      <c r="F174"/>
      <c r="G174"/>
      <c r="H174"/>
      <c r="I174"/>
      <c r="J174"/>
      <c r="L174" s="1"/>
      <c r="M174" s="1"/>
    </row>
    <row r="175" spans="1:13" s="26" customFormat="1">
      <c r="A175" s="1"/>
      <c r="B175" s="56" t="s">
        <v>2396</v>
      </c>
      <c r="C175">
        <f>SIN(C174)</f>
        <v>0.5299192642332049</v>
      </c>
      <c r="D175"/>
      <c r="E175"/>
      <c r="F175"/>
      <c r="G175"/>
      <c r="H175"/>
      <c r="I175"/>
      <c r="J175"/>
      <c r="L175" s="1"/>
      <c r="M175" s="1"/>
    </row>
    <row r="176" spans="1:13" s="26" customFormat="1">
      <c r="A176" s="1"/>
      <c r="B176"/>
      <c r="C176"/>
      <c r="D176"/>
      <c r="E176"/>
      <c r="F176"/>
      <c r="G176"/>
      <c r="H176"/>
      <c r="I176"/>
      <c r="J176"/>
      <c r="L176" s="1"/>
      <c r="M176" s="1"/>
    </row>
    <row r="177" spans="1:13" s="26" customFormat="1">
      <c r="A177" s="1"/>
      <c r="B177" s="56" t="s">
        <v>2397</v>
      </c>
      <c r="C177" s="291">
        <v>15</v>
      </c>
      <c r="D177" t="s">
        <v>1846</v>
      </c>
      <c r="E177"/>
      <c r="F177"/>
      <c r="G177"/>
      <c r="H177"/>
      <c r="I177"/>
      <c r="J177"/>
      <c r="L177" s="1"/>
      <c r="M177" s="1"/>
    </row>
    <row r="178" spans="1:13" s="26" customFormat="1">
      <c r="A178" s="1"/>
      <c r="B178" s="56" t="s">
        <v>2398</v>
      </c>
      <c r="C178">
        <f>RADIANS(C177)</f>
        <v>0.26179938779914941</v>
      </c>
      <c r="D178"/>
      <c r="E178"/>
      <c r="F178"/>
      <c r="G178"/>
      <c r="H178"/>
      <c r="I178"/>
      <c r="J178"/>
      <c r="L178" s="1"/>
      <c r="M178" s="1"/>
    </row>
    <row r="179" spans="1:13" s="26" customFormat="1">
      <c r="A179" s="1"/>
      <c r="B179" s="56" t="s">
        <v>2399</v>
      </c>
      <c r="C179">
        <f>SIN(C178)</f>
        <v>0.25881904510252074</v>
      </c>
      <c r="D179"/>
      <c r="E179"/>
      <c r="F179"/>
      <c r="G179"/>
      <c r="H179"/>
      <c r="I179"/>
      <c r="J179"/>
      <c r="L179" s="1"/>
      <c r="M179" s="1"/>
    </row>
    <row r="180" spans="1:13" s="26" customFormat="1">
      <c r="A180" s="1"/>
      <c r="B180" s="56"/>
      <c r="C180"/>
      <c r="D180"/>
      <c r="E180"/>
      <c r="F180"/>
      <c r="G180"/>
      <c r="H180"/>
      <c r="I180"/>
      <c r="J180"/>
      <c r="L180" s="1"/>
      <c r="M180" s="1"/>
    </row>
    <row r="181" spans="1:13" s="26" customFormat="1">
      <c r="A181" s="1"/>
      <c r="B181" s="56" t="s">
        <v>2400</v>
      </c>
      <c r="C181">
        <f>C169*C175/C179</f>
        <v>2.3391507024481006</v>
      </c>
      <c r="D181"/>
      <c r="E181"/>
      <c r="F181"/>
      <c r="G181"/>
      <c r="H181"/>
      <c r="I181"/>
      <c r="J181"/>
      <c r="L181" s="1"/>
      <c r="M181" s="1"/>
    </row>
    <row r="182" spans="1:13" s="26" customFormat="1">
      <c r="A182" s="1"/>
      <c r="B182" s="56" t="s">
        <v>2401</v>
      </c>
      <c r="C182">
        <f>300000/C181</f>
        <v>128251.67685264014</v>
      </c>
      <c r="D182" t="s">
        <v>823</v>
      </c>
      <c r="E182"/>
      <c r="F182"/>
      <c r="G182"/>
      <c r="H182"/>
      <c r="I182"/>
      <c r="J182"/>
      <c r="L182" s="1"/>
      <c r="M182" s="1"/>
    </row>
    <row r="183" spans="1:13" s="26" customFormat="1">
      <c r="A183" s="1"/>
      <c r="B183" s="369"/>
      <c r="C183"/>
      <c r="D183"/>
      <c r="E183"/>
      <c r="F183"/>
      <c r="G183"/>
      <c r="H183"/>
      <c r="I183"/>
      <c r="J183"/>
      <c r="L183" s="1"/>
      <c r="M183" s="1"/>
    </row>
    <row r="184" spans="1:13" s="26" customFormat="1">
      <c r="A184" s="1"/>
      <c r="B184" s="369"/>
      <c r="C184"/>
      <c r="D184"/>
      <c r="E184"/>
      <c r="F184"/>
      <c r="G184"/>
      <c r="H184"/>
      <c r="I184"/>
      <c r="J184"/>
      <c r="L184" s="1"/>
      <c r="M184" s="1"/>
    </row>
    <row r="185" spans="1:13" s="26" customFormat="1">
      <c r="A185" s="1"/>
      <c r="B185" s="369"/>
      <c r="C185"/>
      <c r="D185"/>
      <c r="E185"/>
      <c r="F185"/>
      <c r="G185"/>
      <c r="H185"/>
      <c r="I185"/>
      <c r="J185"/>
      <c r="L185" s="1"/>
      <c r="M185" s="1"/>
    </row>
    <row r="186" spans="1:13" s="26" customFormat="1">
      <c r="A186" s="1"/>
      <c r="B186" s="369"/>
      <c r="C186"/>
      <c r="D186"/>
      <c r="E186"/>
      <c r="F186"/>
      <c r="G186"/>
      <c r="H186"/>
      <c r="I186"/>
      <c r="J186"/>
      <c r="L186" s="1"/>
      <c r="M186" s="1"/>
    </row>
    <row r="187" spans="1:13" s="26" customFormat="1">
      <c r="A187" s="1"/>
      <c r="B187" s="369"/>
      <c r="C187"/>
      <c r="D187"/>
      <c r="E187"/>
      <c r="F187"/>
      <c r="G187"/>
      <c r="H187"/>
      <c r="I187"/>
      <c r="J187"/>
      <c r="L187" s="1"/>
      <c r="M187" s="1"/>
    </row>
    <row r="188" spans="1:13" s="26" customFormat="1">
      <c r="A188" s="1"/>
      <c r="B188" s="369"/>
      <c r="C188"/>
      <c r="D188"/>
      <c r="E188"/>
      <c r="F188"/>
      <c r="G188"/>
      <c r="H188"/>
      <c r="I188"/>
      <c r="J188"/>
      <c r="L188" s="1"/>
      <c r="M188" s="1"/>
    </row>
    <row r="189" spans="1:13" s="26" customFormat="1">
      <c r="A189" s="1"/>
      <c r="B189" s="369" t="s">
        <v>2210</v>
      </c>
      <c r="C189"/>
      <c r="D189"/>
      <c r="E189"/>
      <c r="F189"/>
      <c r="G189"/>
      <c r="H189"/>
      <c r="I189"/>
      <c r="J189"/>
      <c r="L189" s="1"/>
      <c r="M189" s="1"/>
    </row>
    <row r="190" spans="1:13" s="26" customFormat="1">
      <c r="A190" s="1"/>
      <c r="B190" s="369" t="s">
        <v>2211</v>
      </c>
      <c r="C190"/>
      <c r="D190"/>
      <c r="E190"/>
      <c r="F190"/>
      <c r="G190"/>
      <c r="H190"/>
      <c r="I190"/>
      <c r="J190"/>
      <c r="L190" s="1"/>
      <c r="M190" s="1"/>
    </row>
    <row r="191" spans="1:13" s="26" customFormat="1">
      <c r="A191" s="1"/>
      <c r="B191" s="369" t="s">
        <v>2212</v>
      </c>
      <c r="C191"/>
      <c r="D191"/>
      <c r="E191"/>
      <c r="F191"/>
      <c r="G191"/>
      <c r="H191"/>
      <c r="I191"/>
      <c r="J191"/>
      <c r="L191" s="1"/>
      <c r="M191" s="1"/>
    </row>
    <row r="192" spans="1:13" s="26" customFormat="1">
      <c r="A192" s="1"/>
      <c r="B192" s="369" t="s">
        <v>2213</v>
      </c>
      <c r="C192"/>
      <c r="D192"/>
      <c r="E192"/>
      <c r="F192"/>
      <c r="G192"/>
      <c r="H192"/>
      <c r="I192"/>
      <c r="J192"/>
      <c r="L192" s="1"/>
      <c r="M192" s="1"/>
    </row>
    <row r="193" spans="1:13" s="26" customFormat="1">
      <c r="A193" s="1"/>
      <c r="B193" s="369"/>
      <c r="C193"/>
      <c r="D193"/>
      <c r="E193"/>
      <c r="F193"/>
      <c r="G193"/>
      <c r="H193"/>
      <c r="I193"/>
      <c r="J193"/>
      <c r="L193" s="1"/>
      <c r="M193" s="1"/>
    </row>
    <row r="194" spans="1:13" s="26" customFormat="1">
      <c r="A194" s="1"/>
      <c r="B194" s="369" t="s">
        <v>2214</v>
      </c>
      <c r="C194"/>
      <c r="D194"/>
      <c r="E194"/>
      <c r="F194"/>
      <c r="G194"/>
      <c r="H194"/>
      <c r="I194"/>
      <c r="J194"/>
      <c r="L194" s="1"/>
      <c r="M194" s="1"/>
    </row>
    <row r="195" spans="1:13" s="26" customFormat="1">
      <c r="A195" s="1"/>
      <c r="B195" s="369" t="s">
        <v>2215</v>
      </c>
      <c r="C195"/>
      <c r="D195"/>
      <c r="E195"/>
      <c r="F195"/>
      <c r="G195"/>
      <c r="H195"/>
      <c r="I195"/>
      <c r="J195"/>
      <c r="L195" s="1"/>
      <c r="M195" s="1"/>
    </row>
    <row r="196" spans="1:13" s="26" customFormat="1">
      <c r="A196" s="1"/>
      <c r="B196" s="369" t="s">
        <v>2216</v>
      </c>
      <c r="C196"/>
      <c r="D196"/>
      <c r="E196"/>
      <c r="F196"/>
      <c r="G196"/>
      <c r="H196"/>
      <c r="I196"/>
      <c r="J196"/>
      <c r="L196" s="1"/>
      <c r="M196" s="1"/>
    </row>
    <row r="197" spans="1:13" s="26" customFormat="1">
      <c r="A197" s="1"/>
      <c r="B197" s="369" t="s">
        <v>2217</v>
      </c>
      <c r="C197"/>
      <c r="D197"/>
      <c r="E197"/>
      <c r="F197"/>
      <c r="G197"/>
      <c r="H197"/>
      <c r="I197"/>
      <c r="J197"/>
      <c r="L197" s="1"/>
      <c r="M197" s="1"/>
    </row>
    <row r="198" spans="1:13" s="26" customFormat="1">
      <c r="A198" s="1"/>
      <c r="B198" s="369"/>
      <c r="C198"/>
      <c r="D198"/>
      <c r="E198"/>
      <c r="F198"/>
      <c r="G198"/>
      <c r="H198"/>
      <c r="I198"/>
      <c r="J198"/>
      <c r="L198" s="1"/>
      <c r="M198" s="1"/>
    </row>
    <row r="199" spans="1:13" s="26" customFormat="1">
      <c r="A199" s="1"/>
      <c r="B199" s="369"/>
      <c r="C199"/>
      <c r="D199"/>
      <c r="E199"/>
      <c r="F199"/>
      <c r="G199"/>
      <c r="H199"/>
      <c r="I199"/>
      <c r="J199"/>
      <c r="L199" s="1"/>
      <c r="M199" s="1"/>
    </row>
    <row r="200" spans="1:13" s="26" customFormat="1">
      <c r="A200" s="1"/>
      <c r="B200" s="369"/>
      <c r="C200"/>
      <c r="D200"/>
      <c r="E200"/>
      <c r="F200"/>
      <c r="G200"/>
      <c r="H200"/>
      <c r="I200"/>
      <c r="J200"/>
      <c r="L200" s="1"/>
      <c r="M200" s="1"/>
    </row>
    <row r="201" spans="1:13" s="26" customFormat="1">
      <c r="A201" s="1"/>
      <c r="B201" s="56"/>
      <c r="C201"/>
      <c r="D201"/>
      <c r="E201"/>
      <c r="F201"/>
      <c r="G201"/>
      <c r="H201"/>
      <c r="I201"/>
      <c r="J201"/>
      <c r="L201" s="1"/>
      <c r="M201" s="1"/>
    </row>
    <row r="202" spans="1:13" s="26" customFormat="1">
      <c r="A202" s="1"/>
      <c r="B202" s="56" t="s">
        <v>2218</v>
      </c>
      <c r="C202" s="299">
        <v>1.33</v>
      </c>
      <c r="D202"/>
      <c r="E202"/>
      <c r="F202"/>
      <c r="G202"/>
      <c r="H202"/>
      <c r="I202"/>
      <c r="J202"/>
      <c r="L202" s="1"/>
      <c r="M202" s="1"/>
    </row>
    <row r="203" spans="1:13" s="26" customFormat="1">
      <c r="A203" s="1"/>
      <c r="B203" s="56" t="s">
        <v>2219</v>
      </c>
      <c r="C203" s="803">
        <v>1.000292</v>
      </c>
      <c r="D203"/>
      <c r="E203"/>
      <c r="F203"/>
      <c r="G203"/>
      <c r="H203"/>
      <c r="I203"/>
      <c r="J203"/>
      <c r="L203" s="1"/>
      <c r="M203" s="1"/>
    </row>
    <row r="204" spans="1:13" s="26" customFormat="1">
      <c r="A204" s="1"/>
      <c r="B204" s="56" t="s">
        <v>2193</v>
      </c>
      <c r="C204" s="299">
        <v>19</v>
      </c>
      <c r="D204" t="s">
        <v>1846</v>
      </c>
      <c r="E204"/>
      <c r="F204"/>
      <c r="G204"/>
      <c r="H204"/>
      <c r="I204"/>
      <c r="J204"/>
      <c r="L204" s="1"/>
      <c r="M204" s="1"/>
    </row>
    <row r="205" spans="1:13" s="26" customFormat="1">
      <c r="A205" s="1"/>
      <c r="B205" s="56" t="s">
        <v>2220</v>
      </c>
      <c r="C205" s="299">
        <v>4</v>
      </c>
      <c r="D205" t="s">
        <v>762</v>
      </c>
      <c r="E205"/>
      <c r="F205"/>
      <c r="G205"/>
      <c r="H205"/>
      <c r="I205"/>
      <c r="J205"/>
      <c r="L205" s="1"/>
      <c r="M205" s="1"/>
    </row>
    <row r="206" spans="1:13" s="26" customFormat="1">
      <c r="A206" s="1"/>
      <c r="B206" s="56" t="s">
        <v>2221</v>
      </c>
      <c r="C206" s="299">
        <v>0.9</v>
      </c>
      <c r="D206" t="s">
        <v>762</v>
      </c>
      <c r="E206"/>
      <c r="F206"/>
      <c r="G206"/>
      <c r="H206"/>
      <c r="I206"/>
      <c r="J206"/>
      <c r="L206" s="1"/>
      <c r="M206" s="1"/>
    </row>
    <row r="207" spans="1:13" s="26" customFormat="1">
      <c r="A207" s="1"/>
      <c r="B207" s="56"/>
      <c r="C207"/>
      <c r="D207"/>
      <c r="E207"/>
      <c r="F207"/>
      <c r="G207"/>
      <c r="H207"/>
      <c r="I207"/>
      <c r="J207"/>
      <c r="L207" s="1"/>
      <c r="M207" s="1"/>
    </row>
    <row r="208" spans="1:13" s="26" customFormat="1">
      <c r="A208" s="1"/>
      <c r="B208" s="56"/>
      <c r="C208"/>
      <c r="D208"/>
      <c r="E208"/>
      <c r="F208"/>
      <c r="G208"/>
      <c r="H208"/>
      <c r="I208"/>
      <c r="J208"/>
      <c r="L208" s="1"/>
      <c r="M208" s="1"/>
    </row>
    <row r="209" spans="1:13" s="26" customFormat="1">
      <c r="A209" s="1"/>
      <c r="B209" s="56"/>
      <c r="C209"/>
      <c r="D209"/>
      <c r="E209"/>
      <c r="F209"/>
      <c r="G209"/>
      <c r="H209"/>
      <c r="I209"/>
      <c r="J209"/>
      <c r="L209" s="1"/>
      <c r="M209" s="1"/>
    </row>
    <row r="210" spans="1:13" s="26" customFormat="1">
      <c r="A210" s="1"/>
      <c r="B210" s="369" t="s">
        <v>2222</v>
      </c>
      <c r="C210"/>
      <c r="D210"/>
      <c r="E210"/>
      <c r="F210"/>
      <c r="G210"/>
      <c r="H210"/>
      <c r="I210"/>
      <c r="J210"/>
      <c r="L210" s="1"/>
      <c r="M210" s="1"/>
    </row>
    <row r="211" spans="1:13" s="26" customFormat="1">
      <c r="A211" s="1"/>
      <c r="B211" s="56" t="s">
        <v>2223</v>
      </c>
      <c r="C211">
        <f>RADIANS(C204)</f>
        <v>0.33161255787892263</v>
      </c>
      <c r="D211"/>
      <c r="E211"/>
      <c r="F211"/>
      <c r="G211"/>
      <c r="H211"/>
      <c r="I211"/>
      <c r="J211"/>
      <c r="L211" s="1"/>
      <c r="M211" s="1"/>
    </row>
    <row r="212" spans="1:13" s="26" customFormat="1">
      <c r="A212" s="1"/>
      <c r="B212" s="56" t="s">
        <v>2224</v>
      </c>
      <c r="C212">
        <f>TAN(C211)</f>
        <v>0.34432761328966527</v>
      </c>
      <c r="D212"/>
      <c r="E212"/>
      <c r="F212"/>
      <c r="G212"/>
      <c r="H212"/>
      <c r="I212"/>
      <c r="J212"/>
      <c r="L212" s="1"/>
      <c r="M212" s="1"/>
    </row>
    <row r="213" spans="1:13" s="26" customFormat="1">
      <c r="A213" s="1"/>
      <c r="B213" s="56" t="s">
        <v>2271</v>
      </c>
      <c r="C213" s="57">
        <f>C205*C212</f>
        <v>1.3773104531586611</v>
      </c>
      <c r="D213" t="s">
        <v>762</v>
      </c>
      <c r="E213" t="s">
        <v>2225</v>
      </c>
      <c r="F213"/>
      <c r="G213"/>
      <c r="H213"/>
      <c r="I213"/>
      <c r="J213"/>
      <c r="L213" s="1"/>
      <c r="M213" s="1"/>
    </row>
    <row r="214" spans="1:13" s="26" customFormat="1">
      <c r="A214" s="1"/>
      <c r="B214" s="56"/>
      <c r="C214"/>
      <c r="D214"/>
      <c r="E214"/>
      <c r="F214"/>
      <c r="G214"/>
      <c r="H214"/>
      <c r="I214"/>
      <c r="J214"/>
      <c r="L214" s="1"/>
      <c r="M214" s="1"/>
    </row>
    <row r="215" spans="1:13" s="26" customFormat="1">
      <c r="A215" s="1"/>
      <c r="B215" s="369" t="s">
        <v>2226</v>
      </c>
      <c r="C215"/>
      <c r="D215"/>
      <c r="E215"/>
      <c r="F215"/>
      <c r="G215"/>
      <c r="H215"/>
      <c r="I215"/>
      <c r="J215"/>
      <c r="L215" s="1"/>
      <c r="M215" s="1"/>
    </row>
    <row r="216" spans="1:13" s="26" customFormat="1">
      <c r="A216" s="1"/>
      <c r="B216" s="56" t="s">
        <v>2223</v>
      </c>
      <c r="C216">
        <f>RADIANS(C204)</f>
        <v>0.33161255787892263</v>
      </c>
      <c r="D216"/>
      <c r="E216" t="s">
        <v>2227</v>
      </c>
      <c r="F216"/>
      <c r="G216"/>
      <c r="H216"/>
      <c r="I216"/>
      <c r="J216"/>
      <c r="L216" s="1"/>
      <c r="M216" s="1"/>
    </row>
    <row r="217" spans="1:13" s="26" customFormat="1">
      <c r="A217" s="1"/>
      <c r="B217" s="56" t="s">
        <v>2228</v>
      </c>
      <c r="C217">
        <f>SIN(C216)</f>
        <v>0.3255681544571567</v>
      </c>
      <c r="D217"/>
      <c r="E217"/>
      <c r="F217"/>
      <c r="G217"/>
      <c r="H217"/>
      <c r="I217"/>
      <c r="J217"/>
      <c r="L217" s="1"/>
      <c r="M217" s="1"/>
    </row>
    <row r="218" spans="1:13" s="26" customFormat="1">
      <c r="A218" s="1"/>
      <c r="B218" s="56" t="s">
        <v>2229</v>
      </c>
      <c r="C218">
        <f>C217*C202/C203</f>
        <v>0.43287924468856942</v>
      </c>
      <c r="D218"/>
      <c r="E218" t="s">
        <v>2230</v>
      </c>
      <c r="F218"/>
      <c r="G218"/>
      <c r="H218"/>
      <c r="I218"/>
      <c r="J218"/>
      <c r="L218" s="1"/>
      <c r="M218" s="1"/>
    </row>
    <row r="219" spans="1:13" s="26" customFormat="1">
      <c r="A219" s="1"/>
      <c r="B219" s="56" t="s">
        <v>2231</v>
      </c>
      <c r="C219">
        <f>ASIN(C218)</f>
        <v>0.44768434471917029</v>
      </c>
      <c r="D219"/>
      <c r="E219" t="s">
        <v>2232</v>
      </c>
      <c r="F219"/>
      <c r="G219"/>
      <c r="H219"/>
      <c r="I219"/>
      <c r="J219"/>
      <c r="L219" s="1"/>
      <c r="M219" s="1"/>
    </row>
    <row r="220" spans="1:13" s="26" customFormat="1">
      <c r="A220" s="1"/>
      <c r="B220" s="56" t="s">
        <v>2204</v>
      </c>
      <c r="C220" s="59">
        <f>DEGREES(C219)</f>
        <v>25.650423506488323</v>
      </c>
      <c r="D220" t="s">
        <v>1846</v>
      </c>
      <c r="E220"/>
      <c r="F220"/>
      <c r="G220"/>
      <c r="H220"/>
      <c r="I220"/>
      <c r="J220"/>
      <c r="L220" s="1"/>
      <c r="M220" s="1"/>
    </row>
    <row r="221" spans="1:13" s="26" customFormat="1">
      <c r="A221" s="1"/>
      <c r="B221" s="369"/>
      <c r="C221"/>
      <c r="D221"/>
      <c r="E221"/>
      <c r="F221"/>
      <c r="G221"/>
      <c r="H221"/>
      <c r="I221"/>
      <c r="J221"/>
      <c r="L221" s="1"/>
      <c r="M221" s="1"/>
    </row>
    <row r="222" spans="1:13" s="26" customFormat="1">
      <c r="A222" s="1"/>
      <c r="B222" s="369" t="s">
        <v>2233</v>
      </c>
      <c r="C222"/>
      <c r="D222"/>
      <c r="E222"/>
      <c r="F222"/>
      <c r="G222"/>
      <c r="H222"/>
      <c r="I222"/>
      <c r="J222"/>
      <c r="L222" s="1"/>
      <c r="M222" s="1"/>
    </row>
    <row r="223" spans="1:13" s="26" customFormat="1">
      <c r="A223" s="1"/>
      <c r="B223" s="56" t="s">
        <v>2234</v>
      </c>
      <c r="C223" s="59">
        <f>90-C220</f>
        <v>64.349576493511677</v>
      </c>
      <c r="D223" t="s">
        <v>1846</v>
      </c>
      <c r="E223"/>
      <c r="F223"/>
      <c r="G223"/>
      <c r="H223"/>
      <c r="I223"/>
      <c r="J223"/>
      <c r="L223" s="1"/>
      <c r="M223" s="1"/>
    </row>
    <row r="224" spans="1:13" s="26" customFormat="1">
      <c r="A224" s="1"/>
      <c r="B224" s="56" t="s">
        <v>2235</v>
      </c>
      <c r="C224">
        <f>RADIANS(C223)</f>
        <v>1.1231119820757263</v>
      </c>
      <c r="D224"/>
      <c r="E224"/>
      <c r="F224"/>
      <c r="G224"/>
      <c r="H224"/>
      <c r="I224"/>
      <c r="J224"/>
      <c r="L224" s="1"/>
      <c r="M224" s="1"/>
    </row>
    <row r="225" spans="1:13" s="26" customFormat="1">
      <c r="A225" s="1"/>
      <c r="B225" s="56" t="s">
        <v>2236</v>
      </c>
      <c r="C225">
        <f>TAN(C224)</f>
        <v>2.0824558546869301</v>
      </c>
      <c r="D225"/>
      <c r="E225"/>
      <c r="F225"/>
      <c r="G225"/>
      <c r="H225"/>
      <c r="I225"/>
      <c r="J225"/>
      <c r="L225" s="1"/>
      <c r="M225" s="1"/>
    </row>
    <row r="226" spans="1:13" s="26" customFormat="1">
      <c r="A226" s="1"/>
      <c r="B226" s="56" t="s">
        <v>2272</v>
      </c>
      <c r="C226" s="57">
        <f>C206/C225</f>
        <v>0.43218203064155863</v>
      </c>
      <c r="D226" t="s">
        <v>762</v>
      </c>
      <c r="E226" t="s">
        <v>2237</v>
      </c>
      <c r="F226"/>
      <c r="G226"/>
      <c r="H226"/>
      <c r="I226"/>
      <c r="J226"/>
      <c r="L226" s="1"/>
      <c r="M226" s="1"/>
    </row>
    <row r="227" spans="1:13" s="26" customFormat="1">
      <c r="A227" s="1"/>
      <c r="B227" s="369"/>
      <c r="C227"/>
      <c r="D227"/>
      <c r="E227"/>
      <c r="F227"/>
      <c r="G227"/>
      <c r="H227"/>
      <c r="I227"/>
      <c r="J227"/>
      <c r="L227" s="1"/>
      <c r="M227" s="1"/>
    </row>
    <row r="228" spans="1:13" s="26" customFormat="1">
      <c r="A228" s="1"/>
      <c r="B228" s="369" t="s">
        <v>2238</v>
      </c>
      <c r="C228" s="57">
        <f>C213+C226</f>
        <v>1.8094924838002198</v>
      </c>
      <c r="D228"/>
      <c r="E228"/>
      <c r="F228"/>
      <c r="G228"/>
      <c r="H228"/>
      <c r="I228"/>
      <c r="J228"/>
      <c r="L228" s="1"/>
      <c r="M228" s="1"/>
    </row>
    <row r="229" spans="1:13" s="26" customFormat="1">
      <c r="A229" s="1"/>
      <c r="B229" s="369"/>
      <c r="C229"/>
      <c r="D229"/>
      <c r="E229"/>
      <c r="F229"/>
      <c r="G229"/>
      <c r="H229"/>
      <c r="I229"/>
      <c r="J229"/>
      <c r="L229" s="1"/>
      <c r="M229" s="1"/>
    </row>
    <row r="230" spans="1:13" s="26" customFormat="1">
      <c r="A230" s="1"/>
      <c r="B230" s="369" t="str">
        <f>"Die Person im Boot muss " &amp; ROUND(C228,2) &amp; " m wegrudern, um das Licht zu sehen."</f>
        <v>Die Person im Boot muss 1,81 m wegrudern, um das Licht zu sehen.</v>
      </c>
      <c r="C230"/>
      <c r="D230"/>
      <c r="E230"/>
      <c r="F230"/>
      <c r="G230"/>
      <c r="H230"/>
      <c r="I230"/>
      <c r="J230"/>
      <c r="L230" s="1"/>
      <c r="M230" s="1"/>
    </row>
    <row r="231" spans="1:13" s="26" customFormat="1">
      <c r="A231" s="1"/>
      <c r="B231" s="369"/>
      <c r="C231"/>
      <c r="D231"/>
      <c r="E231"/>
      <c r="F231"/>
      <c r="G231"/>
      <c r="H231"/>
      <c r="I231"/>
      <c r="J231"/>
      <c r="L231" s="1"/>
      <c r="M231" s="1"/>
    </row>
    <row r="232" spans="1:13" s="26" customFormat="1">
      <c r="A232" s="1"/>
      <c r="B232" s="369"/>
      <c r="C232"/>
      <c r="D232"/>
      <c r="E232"/>
      <c r="F232"/>
      <c r="G232"/>
      <c r="H232"/>
      <c r="I232"/>
      <c r="J232"/>
      <c r="L232" s="1"/>
      <c r="M232" s="1"/>
    </row>
    <row r="233" spans="1:13" s="26" customFormat="1">
      <c r="A233" s="1"/>
      <c r="B233" s="369"/>
      <c r="C233"/>
      <c r="D233"/>
      <c r="E233"/>
      <c r="F233"/>
      <c r="G233"/>
      <c r="H233"/>
      <c r="I233"/>
      <c r="J233"/>
      <c r="L233" s="1"/>
      <c r="M233" s="1"/>
    </row>
    <row r="234" spans="1:13" s="26" customFormat="1">
      <c r="A234" s="1"/>
      <c r="B234" s="1" t="s">
        <v>2273</v>
      </c>
      <c r="C234" s="1"/>
      <c r="D234" s="1"/>
      <c r="E234" s="1"/>
      <c r="F234" s="1"/>
      <c r="G234" s="1"/>
      <c r="H234" s="1"/>
      <c r="I234" s="1"/>
      <c r="J234"/>
      <c r="L234" s="1"/>
      <c r="M234" s="1"/>
    </row>
    <row r="235" spans="1:13" s="26" customFormat="1">
      <c r="A235" s="1"/>
      <c r="B235" s="1" t="s">
        <v>2274</v>
      </c>
      <c r="C235" s="1"/>
      <c r="D235" s="1"/>
      <c r="E235" s="1"/>
      <c r="F235" s="1"/>
      <c r="G235" s="1"/>
      <c r="H235" s="1"/>
      <c r="I235" s="1"/>
      <c r="J235"/>
      <c r="L235" s="1"/>
      <c r="M235" s="1"/>
    </row>
    <row r="236" spans="1:13" s="26" customFormat="1">
      <c r="A236" s="1"/>
      <c r="B236" s="1" t="s">
        <v>2275</v>
      </c>
      <c r="C236" s="1"/>
      <c r="D236" s="1"/>
      <c r="E236" s="1"/>
      <c r="F236" s="1"/>
      <c r="G236" s="1"/>
      <c r="H236" s="1"/>
      <c r="I236" s="1"/>
      <c r="J236"/>
      <c r="L236" s="1"/>
      <c r="M236" s="1"/>
    </row>
    <row r="237" spans="1:13" s="26" customFormat="1">
      <c r="A237" s="1"/>
      <c r="B237" s="1"/>
      <c r="C237" s="1"/>
      <c r="D237" s="1"/>
      <c r="E237" s="1"/>
      <c r="F237" s="1"/>
      <c r="G237" s="1"/>
      <c r="H237" s="1"/>
      <c r="I237" s="1"/>
      <c r="J237"/>
      <c r="L237" s="1"/>
      <c r="M237" s="1"/>
    </row>
    <row r="238" spans="1:13" s="26" customFormat="1">
      <c r="A238" s="1"/>
      <c r="B238" s="1"/>
      <c r="C238" s="1"/>
      <c r="D238" s="1"/>
      <c r="E238" s="1"/>
      <c r="F238" s="1"/>
      <c r="G238" s="1"/>
      <c r="H238" s="1"/>
      <c r="I238" s="1"/>
      <c r="J238"/>
      <c r="L238" s="1"/>
      <c r="M238" s="1"/>
    </row>
    <row r="239" spans="1:13" s="26" customFormat="1">
      <c r="A239" s="1"/>
      <c r="B239" s="1" t="s">
        <v>1206</v>
      </c>
      <c r="C239" s="326">
        <v>1.24</v>
      </c>
      <c r="D239" s="1"/>
      <c r="E239" s="1"/>
      <c r="F239" s="1"/>
      <c r="G239" s="1"/>
      <c r="H239" s="1"/>
      <c r="I239" s="1"/>
      <c r="J239"/>
      <c r="L239" s="1"/>
      <c r="M239" s="1"/>
    </row>
    <row r="240" spans="1:13" s="26" customFormat="1">
      <c r="A240" s="1"/>
      <c r="B240" s="1" t="s">
        <v>1207</v>
      </c>
      <c r="C240" s="326">
        <v>1.92</v>
      </c>
      <c r="D240" s="1"/>
      <c r="E240" s="1"/>
      <c r="F240" s="1"/>
      <c r="G240" s="1"/>
      <c r="H240" s="1"/>
      <c r="I240" s="1"/>
      <c r="J240"/>
      <c r="L240" s="1"/>
      <c r="M240" s="1"/>
    </row>
    <row r="241" spans="1:13" s="26" customFormat="1">
      <c r="A241" s="1"/>
      <c r="B241" s="1" t="s">
        <v>2310</v>
      </c>
      <c r="C241" s="326">
        <v>31.6</v>
      </c>
      <c r="D241" s="1" t="s">
        <v>1846</v>
      </c>
      <c r="E241" s="1" t="s">
        <v>2297</v>
      </c>
      <c r="F241" s="1"/>
      <c r="G241" s="1"/>
      <c r="H241" s="1"/>
      <c r="I241" s="1"/>
      <c r="J241"/>
      <c r="L241" s="1"/>
      <c r="M241" s="1"/>
    </row>
    <row r="242" spans="1:13" s="26" customFormat="1">
      <c r="A242" s="1"/>
      <c r="B242" s="1"/>
      <c r="C242" s="1"/>
      <c r="D242" s="1"/>
      <c r="E242" s="1"/>
      <c r="F242" s="1"/>
      <c r="G242" s="1"/>
      <c r="H242" s="1"/>
      <c r="I242" s="1"/>
      <c r="J242"/>
      <c r="L242" s="1"/>
      <c r="M242" s="1"/>
    </row>
    <row r="243" spans="1:13" s="26" customFormat="1">
      <c r="A243" s="1"/>
      <c r="B243" s="1" t="s">
        <v>2311</v>
      </c>
      <c r="C243" s="1">
        <f>RADIANS(C241)</f>
        <v>0.55152404363020813</v>
      </c>
      <c r="D243" s="1"/>
      <c r="E243" s="1" t="s">
        <v>2312</v>
      </c>
      <c r="F243" s="1"/>
      <c r="G243" s="1"/>
      <c r="H243" s="1"/>
      <c r="I243" s="1"/>
      <c r="J243"/>
      <c r="L243" s="1"/>
      <c r="M243" s="1"/>
    </row>
    <row r="244" spans="1:13" s="26" customFormat="1">
      <c r="A244" s="1"/>
      <c r="B244" s="1" t="s">
        <v>2313</v>
      </c>
      <c r="C244" s="1"/>
      <c r="D244" s="1"/>
      <c r="E244" s="1"/>
      <c r="F244" s="1"/>
      <c r="G244" s="1"/>
      <c r="H244" s="1"/>
      <c r="I244" s="1"/>
      <c r="J244"/>
      <c r="L244" s="1"/>
      <c r="M244" s="1"/>
    </row>
    <row r="245" spans="1:13" s="26" customFormat="1">
      <c r="A245" s="1"/>
      <c r="B245" s="1" t="s">
        <v>2314</v>
      </c>
      <c r="C245" s="1">
        <f>SIN(C243)</f>
        <v>0.5239859059700791</v>
      </c>
      <c r="D245" s="1"/>
      <c r="E245" s="1" t="s">
        <v>2315</v>
      </c>
      <c r="F245" s="1"/>
      <c r="G245" s="1"/>
      <c r="H245" s="1"/>
      <c r="I245" s="1"/>
      <c r="J245"/>
      <c r="L245" s="1"/>
      <c r="M245" s="1"/>
    </row>
    <row r="246" spans="1:13" s="26" customFormat="1">
      <c r="A246" s="1"/>
      <c r="B246" s="1"/>
      <c r="C246" s="1"/>
      <c r="D246" s="1"/>
      <c r="E246" s="1"/>
      <c r="F246" s="1"/>
      <c r="G246" s="1"/>
      <c r="H246" s="1"/>
      <c r="I246" s="1"/>
      <c r="J246"/>
      <c r="L246" s="1"/>
      <c r="M246" s="1"/>
    </row>
    <row r="247" spans="1:13" s="26" customFormat="1">
      <c r="A247" s="1"/>
      <c r="B247" s="1"/>
      <c r="C247" s="1"/>
      <c r="D247" s="1"/>
      <c r="E247" s="1"/>
      <c r="F247" s="1"/>
      <c r="G247" s="1"/>
      <c r="H247" s="1"/>
      <c r="I247" s="1"/>
      <c r="J247"/>
      <c r="L247" s="1"/>
      <c r="M247" s="1"/>
    </row>
    <row r="248" spans="1:13" s="26" customFormat="1">
      <c r="A248" s="1"/>
      <c r="B248" s="1" t="s">
        <v>2316</v>
      </c>
      <c r="C248" s="1">
        <f>C245*C240/C239</f>
        <v>0.81133301569560634</v>
      </c>
      <c r="D248" s="1"/>
      <c r="E248" s="1" t="s">
        <v>1906</v>
      </c>
      <c r="F248" s="1"/>
      <c r="G248" s="1"/>
      <c r="H248" s="1"/>
      <c r="I248" s="1"/>
      <c r="J248"/>
      <c r="L248" s="1"/>
      <c r="M248" s="1"/>
    </row>
    <row r="249" spans="1:13" s="26" customFormat="1">
      <c r="A249" s="1"/>
      <c r="B249" s="1" t="s">
        <v>2317</v>
      </c>
      <c r="C249" s="1">
        <f>ASIN(C248)</f>
        <v>0.94642880011842534</v>
      </c>
      <c r="D249" s="1"/>
      <c r="E249" s="1" t="s">
        <v>2203</v>
      </c>
      <c r="F249" s="1"/>
      <c r="G249" s="1"/>
      <c r="H249" s="1"/>
      <c r="I249" s="1"/>
      <c r="J249"/>
      <c r="L249" s="1"/>
      <c r="M249" s="1"/>
    </row>
    <row r="250" spans="1:13" s="26" customFormat="1">
      <c r="A250" s="1"/>
      <c r="B250" s="1" t="s">
        <v>2193</v>
      </c>
      <c r="C250" s="1">
        <f>DEGREES(C249)</f>
        <v>54.226375856416361</v>
      </c>
      <c r="D250" s="1" t="s">
        <v>1846</v>
      </c>
      <c r="E250" s="1" t="s">
        <v>2205</v>
      </c>
      <c r="F250" s="1"/>
      <c r="G250" s="1"/>
      <c r="H250" s="1"/>
      <c r="I250" s="1"/>
      <c r="J250"/>
      <c r="L250" s="1"/>
      <c r="M250" s="1"/>
    </row>
    <row r="251" spans="1:13" s="26" customFormat="1">
      <c r="A251" s="1"/>
      <c r="B251" s="1"/>
      <c r="C251" s="1"/>
      <c r="D251" s="1"/>
      <c r="E251" s="1"/>
      <c r="F251" s="1"/>
      <c r="G251" s="1"/>
      <c r="H251" s="1"/>
      <c r="I251" s="1"/>
      <c r="J251"/>
      <c r="L251" s="1"/>
      <c r="M251" s="1"/>
    </row>
    <row r="252" spans="1:13" s="26" customFormat="1">
      <c r="A252" s="1"/>
      <c r="B252" s="1" t="str">
        <f>"Der Einfallswinkel ist " &amp; ROUND(C250,2) &amp; " Grad groß."</f>
        <v>Der Einfallswinkel ist 54,23 Grad groß.</v>
      </c>
      <c r="C252" s="1"/>
      <c r="D252" s="1"/>
      <c r="E252" s="1" t="s">
        <v>2318</v>
      </c>
      <c r="F252" s="1"/>
      <c r="G252" s="1"/>
      <c r="H252" s="1"/>
      <c r="I252" s="1"/>
      <c r="J252"/>
      <c r="L252" s="1"/>
      <c r="M252" s="1"/>
    </row>
    <row r="253" spans="1:13" s="26" customFormat="1">
      <c r="A253" s="1"/>
      <c r="B253" s="1"/>
      <c r="C253" s="1"/>
      <c r="D253" s="1"/>
      <c r="E253" s="1">
        <v>3.4567890000000001</v>
      </c>
      <c r="F253" s="1"/>
      <c r="G253" s="1"/>
      <c r="H253" s="1"/>
      <c r="I253" s="1"/>
      <c r="J253"/>
      <c r="L253" s="1"/>
      <c r="M253" s="1"/>
    </row>
    <row r="254" spans="1:13" s="26" customFormat="1">
      <c r="A254" s="1"/>
      <c r="B254" s="1"/>
      <c r="C254" s="1"/>
      <c r="D254" s="1"/>
      <c r="E254" s="1">
        <f>ROUND(E253,2)</f>
        <v>3.46</v>
      </c>
      <c r="F254" s="1"/>
      <c r="G254" s="1"/>
      <c r="H254" s="1"/>
      <c r="I254" s="1"/>
      <c r="J254"/>
      <c r="L254" s="1"/>
      <c r="M254" s="1"/>
    </row>
    <row r="255" spans="1:13" s="26" customFormat="1">
      <c r="A255" s="1"/>
      <c r="B255" s="8"/>
      <c r="C255" s="8"/>
      <c r="D255" s="8"/>
      <c r="E255" s="8"/>
      <c r="F255" s="8"/>
      <c r="G255" s="1"/>
      <c r="H255" s="1"/>
      <c r="I255" s="1"/>
      <c r="J255"/>
      <c r="L255" s="1"/>
      <c r="M255" s="1"/>
    </row>
    <row r="256" spans="1:13" s="26" customFormat="1">
      <c r="A256" s="1"/>
      <c r="B256" s="11"/>
      <c r="C256" s="11"/>
      <c r="D256" s="11"/>
      <c r="E256" s="11"/>
      <c r="F256" s="11"/>
      <c r="G256" s="1"/>
      <c r="H256" s="1"/>
      <c r="I256" s="1"/>
      <c r="J256"/>
      <c r="L256" s="1"/>
      <c r="M256" s="1"/>
    </row>
    <row r="257" spans="1:13" s="26" customFormat="1">
      <c r="A257" s="1"/>
      <c r="B257" s="1"/>
      <c r="C257" s="1"/>
      <c r="D257" s="1"/>
      <c r="E257" s="1"/>
      <c r="F257" s="1"/>
      <c r="G257" s="1"/>
      <c r="H257" s="1"/>
      <c r="I257" s="1"/>
      <c r="J257"/>
      <c r="L257" s="1"/>
      <c r="M257" s="1"/>
    </row>
    <row r="258" spans="1:13" s="26" customFormat="1">
      <c r="A258" s="1"/>
      <c r="B258" s="1"/>
      <c r="C258" s="1"/>
      <c r="D258" s="1"/>
      <c r="E258" s="1"/>
      <c r="F258" s="1"/>
      <c r="G258" s="1"/>
      <c r="H258" s="1"/>
      <c r="I258" s="1"/>
      <c r="J258"/>
      <c r="L258" s="1"/>
      <c r="M258" s="1"/>
    </row>
    <row r="259" spans="1:13" s="26" customFormat="1">
      <c r="A259" s="1"/>
      <c r="B259" s="1"/>
      <c r="C259" s="1"/>
      <c r="D259" s="1"/>
      <c r="E259" s="1"/>
      <c r="F259" s="1"/>
      <c r="G259" s="1"/>
      <c r="H259" s="1"/>
      <c r="I259" s="1"/>
      <c r="J259"/>
      <c r="L259" s="1"/>
      <c r="M259" s="1"/>
    </row>
    <row r="260" spans="1:13" s="26" customFormat="1">
      <c r="A260" s="1"/>
      <c r="B260" s="1" t="s">
        <v>2276</v>
      </c>
      <c r="C260" s="1"/>
      <c r="D260" s="1"/>
      <c r="E260" s="1"/>
      <c r="F260" s="1"/>
      <c r="G260" s="1"/>
      <c r="H260" s="1"/>
      <c r="I260" s="1"/>
      <c r="J260"/>
      <c r="L260" s="1"/>
      <c r="M260" s="1"/>
    </row>
    <row r="261" spans="1:13" s="26" customFormat="1">
      <c r="A261" s="1"/>
      <c r="B261" s="1" t="s">
        <v>2277</v>
      </c>
      <c r="C261" s="1"/>
      <c r="D261" s="1"/>
      <c r="E261" s="1"/>
      <c r="F261" s="1"/>
      <c r="G261" s="1"/>
      <c r="H261" s="1"/>
      <c r="I261" s="1"/>
      <c r="J261"/>
      <c r="L261" s="1"/>
      <c r="M261" s="1"/>
    </row>
    <row r="262" spans="1:13" s="26" customFormat="1">
      <c r="A262" s="1"/>
      <c r="B262" s="1"/>
      <c r="C262" s="1"/>
      <c r="D262" s="1"/>
      <c r="E262" s="1"/>
      <c r="F262" s="1"/>
      <c r="G262" s="1"/>
      <c r="H262" s="1"/>
      <c r="I262" s="1"/>
      <c r="J262"/>
      <c r="L262" s="1"/>
      <c r="M262" s="1"/>
    </row>
    <row r="263" spans="1:13" s="26" customFormat="1">
      <c r="A263" s="1"/>
      <c r="B263" s="1" t="s">
        <v>2296</v>
      </c>
      <c r="C263" s="326">
        <v>47</v>
      </c>
      <c r="D263" s="1" t="s">
        <v>1846</v>
      </c>
      <c r="E263" s="1"/>
      <c r="F263" s="1"/>
      <c r="G263" s="1"/>
      <c r="H263" s="1"/>
      <c r="I263" s="1"/>
      <c r="J263"/>
      <c r="L263" s="1"/>
      <c r="M263" s="1"/>
    </row>
    <row r="264" spans="1:13" s="26" customFormat="1">
      <c r="A264" s="1"/>
      <c r="B264" s="1" t="s">
        <v>2310</v>
      </c>
      <c r="C264" s="326">
        <v>19.7</v>
      </c>
      <c r="D264" s="1" t="s">
        <v>1846</v>
      </c>
      <c r="E264" s="1" t="s">
        <v>2297</v>
      </c>
      <c r="F264" s="1"/>
      <c r="G264" s="1"/>
      <c r="H264" s="1"/>
      <c r="I264" s="1"/>
      <c r="J264"/>
      <c r="L264" s="1"/>
      <c r="M264" s="1"/>
    </row>
    <row r="265" spans="1:13" s="26" customFormat="1">
      <c r="A265" s="1"/>
      <c r="B265" s="1" t="s">
        <v>2260</v>
      </c>
      <c r="C265" s="326">
        <v>1.31</v>
      </c>
      <c r="D265" s="1"/>
      <c r="E265" s="1" t="s">
        <v>2319</v>
      </c>
      <c r="F265" s="1"/>
      <c r="G265" s="1"/>
      <c r="H265" s="1"/>
      <c r="I265" s="1"/>
      <c r="J265"/>
      <c r="L265" s="1"/>
      <c r="M265" s="1"/>
    </row>
    <row r="266" spans="1:13" s="26" customFormat="1">
      <c r="A266" s="1"/>
      <c r="B266" s="1"/>
      <c r="C266" s="1"/>
      <c r="D266" s="1"/>
      <c r="E266" s="1"/>
      <c r="F266" s="1"/>
      <c r="G266" s="1"/>
      <c r="H266" s="1"/>
      <c r="I266" s="1"/>
      <c r="J266"/>
      <c r="L266" s="1"/>
      <c r="M266" s="1"/>
    </row>
    <row r="267" spans="1:13" s="26" customFormat="1">
      <c r="A267" s="1"/>
      <c r="B267" s="1" t="s">
        <v>2298</v>
      </c>
      <c r="C267" s="1">
        <f>RADIANS(C263)</f>
        <v>0.82030474843733492</v>
      </c>
      <c r="D267" s="1"/>
      <c r="E267" s="1"/>
      <c r="F267" s="1"/>
      <c r="G267" s="1"/>
      <c r="H267" s="1"/>
      <c r="I267" s="1"/>
      <c r="J267"/>
      <c r="L267" s="1"/>
      <c r="M267" s="1"/>
    </row>
    <row r="268" spans="1:13" s="26" customFormat="1">
      <c r="A268" s="1"/>
      <c r="B268" s="1" t="s">
        <v>2320</v>
      </c>
      <c r="C268" s="1">
        <f>SIN(C267)</f>
        <v>0.73135370161917046</v>
      </c>
      <c r="D268" s="1"/>
      <c r="E268" s="1"/>
      <c r="F268" s="1"/>
      <c r="G268" s="1"/>
      <c r="H268" s="1"/>
      <c r="I268" s="1"/>
      <c r="J268"/>
      <c r="L268" s="1"/>
      <c r="M268" s="1"/>
    </row>
    <row r="269" spans="1:13" s="26" customFormat="1">
      <c r="A269" s="1"/>
      <c r="B269" s="1"/>
      <c r="C269" s="1"/>
      <c r="D269" s="1"/>
      <c r="E269" s="1"/>
      <c r="F269" s="1"/>
      <c r="G269" s="1"/>
      <c r="H269" s="1"/>
      <c r="I269" s="1"/>
      <c r="J269"/>
      <c r="L269" s="1"/>
      <c r="M269" s="1"/>
    </row>
    <row r="270" spans="1:13" s="26" customFormat="1">
      <c r="A270" s="1"/>
      <c r="B270" s="1" t="s">
        <v>2302</v>
      </c>
      <c r="C270" s="1">
        <f>RADIANS(C264)</f>
        <v>0.3438298626428829</v>
      </c>
      <c r="D270" s="1"/>
      <c r="E270" s="1"/>
      <c r="F270" s="1"/>
      <c r="G270" s="1"/>
      <c r="H270" s="1"/>
      <c r="I270" s="1"/>
      <c r="J270"/>
      <c r="L270" s="1"/>
      <c r="M270" s="1"/>
    </row>
    <row r="271" spans="1:13" s="26" customFormat="1">
      <c r="A271" s="1"/>
      <c r="B271" s="1" t="s">
        <v>2321</v>
      </c>
      <c r="C271" s="1">
        <f>SIN(C270)</f>
        <v>0.33709525842308208</v>
      </c>
      <c r="D271" s="1"/>
      <c r="E271" s="1"/>
      <c r="F271" s="1"/>
      <c r="G271" s="1"/>
      <c r="H271" s="1"/>
      <c r="I271" s="1"/>
      <c r="J271"/>
      <c r="L271" s="1"/>
      <c r="M271" s="1"/>
    </row>
    <row r="272" spans="1:13" s="26" customFormat="1">
      <c r="A272" s="1"/>
      <c r="B272" s="1"/>
      <c r="C272" s="1"/>
      <c r="D272" s="1"/>
      <c r="E272" s="1"/>
      <c r="F272" s="1"/>
      <c r="G272" s="1"/>
      <c r="H272" s="1"/>
      <c r="I272" s="1"/>
      <c r="J272"/>
      <c r="L272" s="1"/>
      <c r="M272" s="1"/>
    </row>
    <row r="273" spans="1:13" s="26" customFormat="1">
      <c r="A273" s="1"/>
      <c r="B273" s="1" t="s">
        <v>2261</v>
      </c>
      <c r="C273" s="1">
        <f>C265*C268/C271</f>
        <v>2.8421442461188611</v>
      </c>
      <c r="D273" s="1"/>
      <c r="E273" s="1"/>
      <c r="F273" s="1"/>
      <c r="G273" s="1"/>
      <c r="H273" s="1"/>
      <c r="I273" s="1"/>
      <c r="J273"/>
      <c r="L273" s="1"/>
      <c r="M273" s="1"/>
    </row>
    <row r="274" spans="1:13" s="26" customFormat="1">
      <c r="A274" s="1"/>
      <c r="B274" s="1"/>
      <c r="C274" s="1"/>
      <c r="D274" s="1"/>
      <c r="E274" s="1"/>
      <c r="F274" s="1"/>
      <c r="G274" s="1"/>
      <c r="H274" s="1"/>
      <c r="I274" s="1"/>
      <c r="J274"/>
      <c r="L274" s="1"/>
      <c r="M274" s="1"/>
    </row>
    <row r="275" spans="1:13" s="26" customFormat="1">
      <c r="A275" s="1"/>
      <c r="B275" s="1" t="str">
        <f>"Das Medium, in das Licht eindringt, hat den Brechungsindex " &amp; ROUND(C273,2)</f>
        <v>Das Medium, in das Licht eindringt, hat den Brechungsindex 2,84</v>
      </c>
      <c r="C275" s="1"/>
      <c r="D275" s="1"/>
      <c r="E275" s="1"/>
      <c r="F275" s="1"/>
      <c r="G275" s="1"/>
      <c r="H275" s="1"/>
      <c r="I275" s="1"/>
      <c r="J275"/>
      <c r="L275" s="1"/>
      <c r="M275" s="1"/>
    </row>
    <row r="276" spans="1:13" s="26" customFormat="1">
      <c r="A276" s="1"/>
      <c r="B276" s="11"/>
      <c r="C276" s="11"/>
      <c r="D276" s="11"/>
      <c r="E276" s="11"/>
      <c r="F276" s="11"/>
      <c r="G276" s="1"/>
      <c r="H276" s="1"/>
      <c r="I276" s="1"/>
      <c r="J276"/>
      <c r="L276" s="1"/>
      <c r="M276" s="1"/>
    </row>
    <row r="277" spans="1:13" s="26" customFormat="1">
      <c r="A277" s="1"/>
      <c r="B277" s="1"/>
      <c r="C277" s="1"/>
      <c r="D277" s="1"/>
      <c r="E277" s="1"/>
      <c r="F277" s="1"/>
      <c r="G277" s="1"/>
      <c r="H277" s="1"/>
      <c r="I277" s="1"/>
      <c r="J277"/>
      <c r="L277" s="1"/>
      <c r="M277" s="1"/>
    </row>
    <row r="278" spans="1:13" s="26" customFormat="1">
      <c r="A278" s="1"/>
      <c r="B278" s="1"/>
      <c r="C278" s="1"/>
      <c r="D278" s="1"/>
      <c r="E278" s="1"/>
      <c r="F278" s="1"/>
      <c r="G278" s="1"/>
      <c r="H278" s="1"/>
      <c r="I278" s="1"/>
      <c r="J278"/>
      <c r="L278" s="1"/>
      <c r="M278" s="1"/>
    </row>
    <row r="279" spans="1:13" s="26" customFormat="1">
      <c r="A279" s="1"/>
      <c r="B279" s="1" t="s">
        <v>2278</v>
      </c>
      <c r="C279" s="1"/>
      <c r="D279" s="1"/>
      <c r="E279" s="1"/>
      <c r="F279" s="1"/>
      <c r="G279" s="1"/>
      <c r="H279" s="1"/>
      <c r="I279" s="1"/>
      <c r="J279"/>
      <c r="L279" s="1"/>
      <c r="M279" s="1"/>
    </row>
    <row r="280" spans="1:13" s="26" customFormat="1">
      <c r="A280" s="1"/>
      <c r="B280" s="1" t="s">
        <v>2279</v>
      </c>
      <c r="C280" s="1"/>
      <c r="D280" s="1"/>
      <c r="E280" s="1"/>
      <c r="F280" s="1"/>
      <c r="G280" s="1"/>
      <c r="H280" s="1"/>
      <c r="I280" s="1"/>
      <c r="J280"/>
      <c r="L280" s="1"/>
      <c r="M280" s="1"/>
    </row>
    <row r="281" spans="1:13" s="26" customFormat="1">
      <c r="A281" s="1"/>
      <c r="B281" s="1"/>
      <c r="C281" s="1"/>
      <c r="D281" s="1"/>
      <c r="E281" s="1"/>
      <c r="F281" s="1"/>
      <c r="G281" s="1"/>
      <c r="H281" s="1"/>
      <c r="I281" s="1"/>
      <c r="J281"/>
      <c r="L281" s="1"/>
      <c r="M281" s="1"/>
    </row>
    <row r="282" spans="1:13" s="26" customFormat="1">
      <c r="A282" s="1"/>
      <c r="B282" s="1"/>
      <c r="C282" s="1"/>
      <c r="D282" s="1"/>
      <c r="E282" s="1" t="s">
        <v>2297</v>
      </c>
      <c r="F282" s="1"/>
      <c r="G282" s="1"/>
      <c r="H282" s="1"/>
      <c r="I282" s="1"/>
      <c r="J282"/>
      <c r="L282" s="1"/>
      <c r="M282" s="1"/>
    </row>
    <row r="283" spans="1:13" s="26" customFormat="1">
      <c r="A283" s="1"/>
      <c r="B283" s="1" t="s">
        <v>2296</v>
      </c>
      <c r="C283" s="326">
        <v>33</v>
      </c>
      <c r="D283" s="1" t="s">
        <v>1846</v>
      </c>
      <c r="E283" s="1" t="s">
        <v>2322</v>
      </c>
      <c r="F283" s="1"/>
      <c r="G283" s="1"/>
      <c r="H283" s="1"/>
      <c r="I283" s="1"/>
      <c r="J283"/>
      <c r="L283" s="1"/>
      <c r="M283" s="1"/>
    </row>
    <row r="284" spans="1:13" s="26" customFormat="1">
      <c r="A284" s="1"/>
      <c r="B284" s="1" t="s">
        <v>2310</v>
      </c>
      <c r="C284" s="326">
        <v>20</v>
      </c>
      <c r="D284" s="1" t="s">
        <v>1846</v>
      </c>
      <c r="E284" s="1"/>
      <c r="F284" s="1"/>
      <c r="G284" s="1"/>
      <c r="H284" s="1"/>
      <c r="I284" s="1"/>
      <c r="J284"/>
      <c r="L284" s="1"/>
      <c r="M284" s="1"/>
    </row>
    <row r="285" spans="1:13" s="26" customFormat="1">
      <c r="A285" s="1"/>
      <c r="B285" s="1" t="s">
        <v>2261</v>
      </c>
      <c r="C285" s="326">
        <v>1.77</v>
      </c>
      <c r="D285" s="1"/>
      <c r="E285" s="1"/>
      <c r="F285" s="1"/>
      <c r="G285" s="1"/>
      <c r="H285" s="1"/>
      <c r="I285" s="1"/>
      <c r="J285"/>
      <c r="L285" s="1"/>
      <c r="M285" s="1"/>
    </row>
    <row r="286" spans="1:13" s="26" customFormat="1">
      <c r="A286" s="1"/>
      <c r="B286" s="1"/>
      <c r="C286" s="1"/>
      <c r="D286" s="1"/>
      <c r="E286" s="1"/>
      <c r="F286" s="1"/>
      <c r="G286" s="1"/>
      <c r="H286" s="1"/>
      <c r="I286" s="1"/>
      <c r="J286"/>
      <c r="L286" s="1"/>
      <c r="M286" s="1"/>
    </row>
    <row r="287" spans="1:13" s="26" customFormat="1">
      <c r="A287" s="1"/>
      <c r="B287" s="1" t="s">
        <v>2298</v>
      </c>
      <c r="C287" s="1">
        <f>RADIANS(C283)</f>
        <v>0.57595865315812877</v>
      </c>
      <c r="D287" s="1"/>
      <c r="E287" s="1"/>
      <c r="F287" s="1"/>
      <c r="G287" s="1"/>
      <c r="H287" s="1"/>
      <c r="I287" s="1"/>
      <c r="J287"/>
      <c r="L287" s="1"/>
      <c r="M287" s="1"/>
    </row>
    <row r="288" spans="1:13" s="26" customFormat="1">
      <c r="A288" s="1"/>
      <c r="B288" s="1" t="s">
        <v>2320</v>
      </c>
      <c r="C288" s="1">
        <f>SIN(C287)</f>
        <v>0.54463903501502708</v>
      </c>
      <c r="D288" s="1"/>
      <c r="E288" s="1"/>
      <c r="F288" s="1"/>
      <c r="G288" s="1"/>
      <c r="H288" s="1"/>
      <c r="I288" s="1"/>
      <c r="J288"/>
      <c r="L288" s="1"/>
      <c r="M288" s="1"/>
    </row>
    <row r="289" spans="1:13" s="26" customFormat="1">
      <c r="A289" s="1"/>
      <c r="B289" s="1"/>
      <c r="C289" s="1"/>
      <c r="D289" s="1"/>
      <c r="E289" s="1"/>
      <c r="F289" s="1"/>
      <c r="G289" s="1"/>
      <c r="H289" s="1"/>
      <c r="I289" s="1"/>
      <c r="J289"/>
      <c r="L289" s="1"/>
      <c r="M289" s="1"/>
    </row>
    <row r="290" spans="1:13" s="26" customFormat="1">
      <c r="A290" s="1"/>
      <c r="B290" s="1" t="s">
        <v>2302</v>
      </c>
      <c r="C290" s="1">
        <f>RADIANS(C284)</f>
        <v>0.3490658503988659</v>
      </c>
      <c r="D290" s="1"/>
      <c r="E290" s="1"/>
      <c r="F290" s="1"/>
      <c r="G290" s="1"/>
      <c r="H290" s="1"/>
      <c r="I290" s="1"/>
      <c r="J290"/>
      <c r="L290" s="1"/>
      <c r="M290" s="1"/>
    </row>
    <row r="291" spans="1:13" s="26" customFormat="1">
      <c r="A291" s="1"/>
      <c r="B291" s="1" t="s">
        <v>2321</v>
      </c>
      <c r="C291" s="1">
        <f>SIN(C290)</f>
        <v>0.34202014332566871</v>
      </c>
      <c r="D291" s="1"/>
      <c r="E291" s="292"/>
      <c r="F291" s="1"/>
      <c r="G291" s="1"/>
      <c r="H291" s="1"/>
      <c r="I291" s="1"/>
      <c r="J291"/>
      <c r="L291" s="1"/>
      <c r="M291" s="1"/>
    </row>
    <row r="292" spans="1:13" s="26" customFormat="1">
      <c r="A292" s="1"/>
      <c r="B292" s="1"/>
      <c r="C292" s="1"/>
      <c r="D292" s="1"/>
      <c r="E292" s="1"/>
      <c r="F292" s="1"/>
      <c r="G292" s="1"/>
      <c r="H292" s="1"/>
      <c r="I292" s="1"/>
      <c r="J292"/>
      <c r="L292" s="1"/>
      <c r="M292" s="1"/>
    </row>
    <row r="293" spans="1:13" s="26" customFormat="1">
      <c r="A293" s="1"/>
      <c r="B293" s="1" t="s">
        <v>2260</v>
      </c>
      <c r="C293" s="1">
        <f>C285*C291/C288</f>
        <v>1.1115171972015021</v>
      </c>
      <c r="D293" s="1"/>
      <c r="E293" s="1"/>
      <c r="F293" s="1"/>
      <c r="G293" s="1"/>
      <c r="H293" s="1"/>
      <c r="I293" s="1"/>
      <c r="J293"/>
      <c r="L293" s="1"/>
      <c r="M293" s="1"/>
    </row>
    <row r="294" spans="1:13" s="26" customFormat="1">
      <c r="A294" s="1"/>
      <c r="B294" s="1"/>
      <c r="C294" s="1"/>
      <c r="D294" s="1"/>
      <c r="E294" s="1"/>
      <c r="F294" s="1"/>
      <c r="G294" s="1"/>
      <c r="H294" s="1"/>
      <c r="I294" s="1"/>
      <c r="J294"/>
      <c r="L294" s="1"/>
      <c r="M294" s="1"/>
    </row>
    <row r="295" spans="1:13" s="26" customFormat="1">
      <c r="A295" s="1"/>
      <c r="B295" s="1" t="str">
        <f>"Das Medium,aus dem das Licht kommt, hat den Brechungsindex " &amp; ROUND(C293,2)</f>
        <v>Das Medium,aus dem das Licht kommt, hat den Brechungsindex 1,11</v>
      </c>
      <c r="C295" s="1"/>
      <c r="D295" s="1"/>
      <c r="E295" s="1"/>
      <c r="F295" s="1"/>
      <c r="G295" s="1"/>
      <c r="H295" s="1"/>
      <c r="I295" s="1"/>
      <c r="J295"/>
      <c r="L295" s="1"/>
      <c r="M295" s="1"/>
    </row>
    <row r="296" spans="1:13" s="26" customFormat="1">
      <c r="A296" s="1"/>
      <c r="B296" s="8"/>
      <c r="C296" s="8"/>
      <c r="D296" s="8"/>
      <c r="E296" s="8"/>
      <c r="F296" s="8"/>
      <c r="G296" s="8"/>
      <c r="H296" s="1"/>
      <c r="I296" s="1"/>
      <c r="J296"/>
      <c r="L296" s="1"/>
      <c r="M296" s="1"/>
    </row>
    <row r="297" spans="1:13" s="26" customFormat="1">
      <c r="A297" s="1"/>
      <c r="B297" s="11"/>
      <c r="C297" s="11"/>
      <c r="D297" s="11"/>
      <c r="E297" s="11"/>
      <c r="F297" s="11"/>
      <c r="G297" s="11"/>
      <c r="H297" s="1"/>
      <c r="I297" s="1"/>
      <c r="J297"/>
      <c r="L297" s="1"/>
      <c r="M297" s="1"/>
    </row>
    <row r="301" spans="1:13">
      <c r="B301" s="287" t="s">
        <v>2323</v>
      </c>
    </row>
    <row r="302" spans="1:13">
      <c r="B302" s="165"/>
    </row>
    <row r="303" spans="1:13">
      <c r="B303" s="1" t="s">
        <v>2273</v>
      </c>
    </row>
    <row r="304" spans="1:13">
      <c r="B304" s="1" t="s">
        <v>2274</v>
      </c>
    </row>
    <row r="305" spans="2:2">
      <c r="B305" s="1" t="s">
        <v>2275</v>
      </c>
    </row>
    <row r="306" spans="2:2">
      <c r="B306" s="1"/>
    </row>
    <row r="307" spans="2:2">
      <c r="B307" s="1" t="s">
        <v>2276</v>
      </c>
    </row>
    <row r="308" spans="2:2">
      <c r="B308" s="1" t="s">
        <v>2277</v>
      </c>
    </row>
    <row r="309" spans="2:2">
      <c r="B309" s="1"/>
    </row>
    <row r="310" spans="2:2">
      <c r="B310" s="1" t="s">
        <v>2278</v>
      </c>
    </row>
    <row r="311" spans="2:2">
      <c r="B311" s="1" t="s">
        <v>2279</v>
      </c>
    </row>
    <row r="312" spans="2:2">
      <c r="B312" s="1"/>
    </row>
    <row r="313" spans="2:2">
      <c r="B313" s="1" t="s">
        <v>2293</v>
      </c>
    </row>
    <row r="314" spans="2:2">
      <c r="B314" s="1" t="s">
        <v>2324</v>
      </c>
    </row>
    <row r="315" spans="2:2">
      <c r="B315" s="1" t="s">
        <v>2295</v>
      </c>
    </row>
    <row r="321" spans="1:13">
      <c r="A321" s="24"/>
      <c r="B321" s="375"/>
      <c r="C321" s="346"/>
      <c r="D321" s="24"/>
      <c r="E321" s="24"/>
      <c r="F321" s="24"/>
      <c r="G321" s="24"/>
      <c r="H321" s="24"/>
      <c r="I321" s="24"/>
      <c r="J321" s="24"/>
      <c r="K321" s="346"/>
      <c r="L321" s="24"/>
      <c r="M321" s="24"/>
    </row>
    <row r="322" spans="1:13">
      <c r="A322" s="24"/>
      <c r="B322" s="375"/>
      <c r="C322" s="346"/>
      <c r="D322" s="24"/>
      <c r="E322" s="24"/>
      <c r="F322" s="24"/>
      <c r="G322" s="24"/>
      <c r="H322" s="24"/>
      <c r="I322" s="24"/>
      <c r="J322" s="24"/>
      <c r="K322" s="346"/>
      <c r="L322" s="24"/>
      <c r="M322" s="24"/>
    </row>
    <row r="323" spans="1:13">
      <c r="A323" s="24"/>
      <c r="B323" s="375" t="s">
        <v>2280</v>
      </c>
      <c r="C323" s="346"/>
      <c r="D323" s="24"/>
      <c r="E323" s="24"/>
      <c r="F323" s="24"/>
      <c r="G323" s="24"/>
      <c r="H323" s="24"/>
      <c r="I323" s="24"/>
      <c r="J323" s="24"/>
      <c r="K323" s="346"/>
      <c r="L323" s="24"/>
      <c r="M323" s="24"/>
    </row>
    <row r="324" spans="1:13">
      <c r="A324" s="24"/>
      <c r="B324" s="375"/>
      <c r="C324" s="346"/>
      <c r="D324" s="24"/>
      <c r="E324" s="24"/>
      <c r="F324" s="24"/>
      <c r="G324" s="24"/>
      <c r="H324" s="24"/>
      <c r="I324" s="24"/>
      <c r="J324" s="24"/>
      <c r="K324" s="346"/>
      <c r="L324" s="24"/>
      <c r="M324" s="24"/>
    </row>
    <row r="325" spans="1:13">
      <c r="A325" s="24"/>
      <c r="B325" s="375" t="s">
        <v>2281</v>
      </c>
      <c r="C325" s="346"/>
      <c r="D325" s="24"/>
      <c r="E325" s="24"/>
      <c r="F325" s="24"/>
      <c r="G325" s="24"/>
      <c r="H325" s="24"/>
      <c r="I325" s="24"/>
      <c r="J325" s="24"/>
      <c r="K325" s="346"/>
      <c r="L325" s="24"/>
      <c r="M325" s="24"/>
    </row>
    <row r="326" spans="1:13">
      <c r="A326" s="24"/>
      <c r="B326" s="375" t="s">
        <v>2282</v>
      </c>
      <c r="C326" s="24"/>
      <c r="D326" s="24"/>
      <c r="E326" s="24"/>
      <c r="F326" s="24"/>
      <c r="G326" s="24"/>
      <c r="H326" s="24"/>
      <c r="I326" s="24"/>
      <c r="J326" s="24"/>
      <c r="K326" s="24"/>
      <c r="L326" s="24"/>
      <c r="M326" s="24"/>
    </row>
    <row r="327" spans="1:13">
      <c r="A327" s="24"/>
      <c r="B327" s="375"/>
      <c r="C327" s="346"/>
      <c r="D327" s="24"/>
      <c r="E327" s="24"/>
      <c r="F327" s="24"/>
      <c r="G327" s="24"/>
      <c r="H327" s="24"/>
      <c r="I327" s="24"/>
      <c r="J327" s="24"/>
      <c r="K327" s="346"/>
      <c r="L327" s="24"/>
      <c r="M327" s="24"/>
    </row>
    <row r="328" spans="1:13">
      <c r="A328" s="24"/>
      <c r="B328" s="375" t="s">
        <v>2283</v>
      </c>
      <c r="C328" s="24"/>
      <c r="D328" s="24"/>
      <c r="E328" s="24"/>
      <c r="F328" s="24"/>
      <c r="G328" s="24"/>
      <c r="H328" s="24"/>
      <c r="I328" s="24"/>
      <c r="J328" s="24"/>
      <c r="K328" s="24"/>
      <c r="L328" s="24"/>
      <c r="M328" s="24"/>
    </row>
    <row r="329" spans="1:13">
      <c r="A329" s="24"/>
      <c r="B329" s="375" t="s">
        <v>2284</v>
      </c>
      <c r="C329" s="24"/>
      <c r="D329" s="24"/>
      <c r="E329" s="24"/>
      <c r="F329" s="24"/>
      <c r="G329" s="24"/>
      <c r="H329" s="24"/>
      <c r="I329" s="24"/>
      <c r="J329" s="24"/>
      <c r="K329" s="24"/>
      <c r="L329" s="24"/>
      <c r="M329" s="24"/>
    </row>
    <row r="330" spans="1:13">
      <c r="A330" s="24"/>
      <c r="B330" s="375" t="s">
        <v>2285</v>
      </c>
      <c r="C330" s="24"/>
      <c r="D330" s="24"/>
      <c r="E330" s="24"/>
      <c r="F330" s="24"/>
      <c r="G330" s="24"/>
      <c r="H330" s="24"/>
      <c r="I330" s="24"/>
      <c r="J330" s="24"/>
      <c r="K330" s="24"/>
      <c r="L330" s="24"/>
      <c r="M330" s="24"/>
    </row>
    <row r="331" spans="1:13">
      <c r="A331" s="24"/>
      <c r="B331" s="375" t="s">
        <v>2286</v>
      </c>
      <c r="C331" s="346"/>
      <c r="D331" s="24"/>
      <c r="E331" s="24"/>
      <c r="F331" s="24"/>
      <c r="G331" s="24"/>
      <c r="H331" s="24"/>
      <c r="I331" s="24"/>
      <c r="J331" s="24"/>
      <c r="K331" s="346"/>
      <c r="L331" s="24"/>
      <c r="M331" s="24"/>
    </row>
    <row r="332" spans="1:13">
      <c r="A332" s="24"/>
      <c r="B332" s="375" t="s">
        <v>2287</v>
      </c>
      <c r="C332" s="24"/>
      <c r="D332" s="24"/>
      <c r="E332" s="24"/>
      <c r="F332" s="24"/>
      <c r="G332" s="24"/>
      <c r="H332" s="24"/>
      <c r="I332" s="24"/>
      <c r="J332" s="24"/>
      <c r="K332" s="24"/>
      <c r="L332" s="24"/>
      <c r="M332" s="24"/>
    </row>
    <row r="333" spans="1:13">
      <c r="A333" s="24"/>
      <c r="B333" s="375"/>
      <c r="C333" s="346"/>
      <c r="D333" s="24"/>
      <c r="E333" s="24"/>
      <c r="F333" s="24"/>
      <c r="G333" s="24"/>
      <c r="H333" s="24"/>
      <c r="I333" s="24"/>
      <c r="J333" s="24"/>
      <c r="K333" s="346"/>
      <c r="L333" s="24"/>
      <c r="M333" s="24"/>
    </row>
    <row r="334" spans="1:13">
      <c r="A334" s="24"/>
      <c r="B334" s="814" t="s">
        <v>2289</v>
      </c>
      <c r="C334" s="24"/>
      <c r="D334" s="24"/>
      <c r="E334" s="24"/>
      <c r="F334" s="24"/>
      <c r="G334" s="24"/>
      <c r="H334" s="24"/>
      <c r="I334" s="24"/>
      <c r="J334" s="24"/>
      <c r="K334" s="24"/>
      <c r="L334" s="24"/>
      <c r="M334" s="24"/>
    </row>
    <row r="335" spans="1:13">
      <c r="A335" s="24"/>
      <c r="B335" s="814" t="s">
        <v>2290</v>
      </c>
      <c r="C335" s="24"/>
      <c r="D335" s="24"/>
      <c r="E335" s="24"/>
      <c r="F335" s="24"/>
      <c r="G335" s="24"/>
      <c r="H335" s="24"/>
      <c r="I335" s="24"/>
      <c r="J335" s="24"/>
      <c r="K335" s="24"/>
      <c r="L335" s="24"/>
      <c r="M335" s="24"/>
    </row>
    <row r="336" spans="1:13">
      <c r="A336" s="24"/>
      <c r="B336" s="814" t="s">
        <v>2291</v>
      </c>
      <c r="C336" s="24"/>
      <c r="D336" s="24"/>
      <c r="E336" s="24"/>
      <c r="F336" s="24"/>
      <c r="G336" s="24"/>
      <c r="H336" s="24"/>
      <c r="I336" s="24"/>
      <c r="J336" s="24"/>
      <c r="K336" s="24"/>
      <c r="L336" s="24"/>
      <c r="M336" s="24"/>
    </row>
    <row r="337" spans="1:13">
      <c r="A337" s="24"/>
      <c r="B337" s="814" t="s">
        <v>2292</v>
      </c>
      <c r="C337" s="24"/>
      <c r="D337" s="24"/>
      <c r="E337" s="24"/>
      <c r="F337" s="24"/>
      <c r="G337" s="24"/>
      <c r="H337" s="24"/>
      <c r="I337" s="24"/>
      <c r="J337" s="24"/>
      <c r="K337" s="24"/>
      <c r="L337" s="24"/>
      <c r="M337" s="24"/>
    </row>
    <row r="338" spans="1:13">
      <c r="A338" s="24"/>
      <c r="B338" s="375"/>
      <c r="C338" s="346"/>
      <c r="D338" s="24"/>
      <c r="E338" s="24"/>
      <c r="F338" s="24"/>
      <c r="G338" s="24"/>
      <c r="H338" s="24"/>
      <c r="I338" s="24"/>
      <c r="J338" s="24"/>
      <c r="K338" s="346"/>
      <c r="L338" s="24"/>
      <c r="M338" s="24"/>
    </row>
    <row r="339" spans="1:13" ht="13.5" thickBot="1">
      <c r="A339"/>
      <c r="B339" s="786" t="s">
        <v>2288</v>
      </c>
      <c r="E339" s="24"/>
      <c r="F339" s="24"/>
      <c r="G339" s="24"/>
      <c r="H339" s="24"/>
      <c r="I339" s="24"/>
      <c r="J339" s="24"/>
      <c r="K339" s="24"/>
      <c r="L339" s="24"/>
      <c r="M339" s="24"/>
    </row>
    <row r="340" spans="1:13">
      <c r="A340"/>
      <c r="B340" s="787"/>
      <c r="C340" s="788"/>
      <c r="D340" s="718"/>
      <c r="E340" s="24"/>
      <c r="F340" s="24"/>
      <c r="G340" s="24"/>
      <c r="H340" s="24"/>
      <c r="I340" s="24"/>
      <c r="J340" s="24"/>
      <c r="K340" s="24"/>
      <c r="L340" s="24"/>
      <c r="M340" s="24"/>
    </row>
    <row r="341" spans="1:13">
      <c r="A341"/>
      <c r="B341" s="789" t="s">
        <v>496</v>
      </c>
      <c r="C341" s="169"/>
      <c r="D341" s="719"/>
      <c r="E341" s="24"/>
      <c r="F341" s="24"/>
      <c r="G341" s="24"/>
      <c r="H341" s="24"/>
      <c r="I341" s="24"/>
      <c r="J341" s="24"/>
      <c r="K341" s="24"/>
      <c r="L341" s="24"/>
      <c r="M341" s="24"/>
    </row>
    <row r="342" spans="1:13">
      <c r="A342"/>
      <c r="B342" s="789"/>
      <c r="C342" s="169"/>
      <c r="D342" s="719"/>
      <c r="E342" s="24"/>
      <c r="F342" s="24"/>
      <c r="G342" s="24"/>
      <c r="H342" s="24"/>
      <c r="I342" s="24"/>
      <c r="J342" s="24"/>
      <c r="K342" s="24"/>
      <c r="L342" s="24"/>
      <c r="M342" s="24"/>
    </row>
    <row r="343" spans="1:13">
      <c r="A343"/>
      <c r="B343" s="789" t="s">
        <v>1206</v>
      </c>
      <c r="C343" s="720">
        <v>1.1100000000000001</v>
      </c>
      <c r="D343" s="719"/>
      <c r="E343" s="24"/>
      <c r="F343" s="24"/>
      <c r="G343" s="24"/>
      <c r="H343" s="24"/>
      <c r="I343" s="24"/>
      <c r="J343" s="24"/>
      <c r="K343" s="24"/>
      <c r="L343" s="24"/>
      <c r="M343" s="24"/>
    </row>
    <row r="344" spans="1:13">
      <c r="A344"/>
      <c r="B344" s="789" t="s">
        <v>1207</v>
      </c>
      <c r="C344" s="720">
        <v>1.54</v>
      </c>
      <c r="D344" s="719"/>
      <c r="E344" s="24"/>
      <c r="F344" s="24"/>
      <c r="G344" s="24"/>
      <c r="H344" s="24"/>
      <c r="I344" s="24"/>
      <c r="J344" s="24"/>
      <c r="K344" s="24"/>
      <c r="L344" s="24"/>
      <c r="M344" s="24"/>
    </row>
    <row r="345" spans="1:13">
      <c r="A345"/>
      <c r="B345" s="789" t="s">
        <v>2120</v>
      </c>
      <c r="C345" s="720">
        <v>50</v>
      </c>
      <c r="D345" s="719"/>
      <c r="E345" s="24"/>
      <c r="F345" s="24"/>
      <c r="G345" s="24"/>
      <c r="H345" s="24"/>
      <c r="I345" s="24"/>
      <c r="J345" s="24"/>
      <c r="K345" s="24"/>
      <c r="L345" s="24"/>
      <c r="M345" s="24"/>
    </row>
    <row r="346" spans="1:13">
      <c r="A346"/>
      <c r="B346" s="789"/>
      <c r="C346" s="169"/>
      <c r="D346" s="719"/>
      <c r="E346" s="24"/>
      <c r="F346" s="24"/>
      <c r="G346" s="24"/>
      <c r="H346" s="24"/>
      <c r="I346" s="24"/>
      <c r="J346" s="24"/>
      <c r="K346" s="24"/>
      <c r="L346" s="24"/>
      <c r="M346" s="24"/>
    </row>
    <row r="347" spans="1:13">
      <c r="A347"/>
      <c r="B347" s="789" t="s">
        <v>500</v>
      </c>
      <c r="C347" s="169"/>
      <c r="D347" s="719"/>
      <c r="E347" s="24"/>
      <c r="F347" s="24"/>
      <c r="G347" s="24"/>
      <c r="H347" s="24"/>
      <c r="I347" s="24"/>
      <c r="J347" s="24"/>
      <c r="K347" s="24"/>
      <c r="L347" s="24"/>
      <c r="M347" s="24"/>
    </row>
    <row r="348" spans="1:13">
      <c r="A348"/>
      <c r="B348" s="789" t="s">
        <v>2121</v>
      </c>
      <c r="C348" s="790">
        <f>RADIANS(C345)</f>
        <v>0.87266462599716477</v>
      </c>
      <c r="D348" s="719"/>
      <c r="E348" s="24"/>
      <c r="F348" s="24"/>
      <c r="G348" s="24"/>
      <c r="H348" s="24"/>
      <c r="I348" s="24"/>
      <c r="J348" s="24"/>
      <c r="K348" s="24"/>
      <c r="L348" s="24"/>
      <c r="M348" s="24"/>
    </row>
    <row r="349" spans="1:13">
      <c r="A349"/>
      <c r="B349" s="789" t="s">
        <v>2122</v>
      </c>
      <c r="C349" s="790">
        <f>SIN(C348)</f>
        <v>0.76604444311897801</v>
      </c>
      <c r="D349" s="719"/>
      <c r="E349" s="24"/>
      <c r="F349" s="24"/>
      <c r="G349" s="24"/>
      <c r="H349" s="24"/>
      <c r="I349" s="24"/>
      <c r="J349" s="24"/>
      <c r="K349" s="24"/>
      <c r="L349" s="24"/>
      <c r="M349" s="24"/>
    </row>
    <row r="350" spans="1:13">
      <c r="A350"/>
      <c r="B350" s="789"/>
      <c r="C350" s="169"/>
      <c r="D350" s="719"/>
      <c r="E350" s="24"/>
      <c r="F350" s="24"/>
      <c r="G350" s="24"/>
      <c r="H350" s="24"/>
      <c r="I350" s="24"/>
      <c r="J350" s="24"/>
      <c r="K350" s="24"/>
      <c r="L350" s="24"/>
      <c r="M350" s="24"/>
    </row>
    <row r="351" spans="1:13">
      <c r="A351"/>
      <c r="B351" s="789" t="s">
        <v>2123</v>
      </c>
      <c r="C351" s="723">
        <f>C349*C343/C344</f>
        <v>0.55214891679354916</v>
      </c>
      <c r="D351" s="719"/>
      <c r="E351" s="24"/>
      <c r="F351" s="24"/>
      <c r="G351" s="24"/>
      <c r="H351" s="24"/>
      <c r="I351" s="24"/>
      <c r="J351" s="24"/>
      <c r="K351" s="24"/>
      <c r="L351" s="24"/>
      <c r="M351" s="24"/>
    </row>
    <row r="352" spans="1:13">
      <c r="A352"/>
      <c r="B352" s="789" t="s">
        <v>2124</v>
      </c>
      <c r="C352" s="791">
        <f>DEGREES(ASIN(C351))</f>
        <v>33.51456290625417</v>
      </c>
      <c r="D352" s="719"/>
      <c r="E352" s="815" t="s">
        <v>2130</v>
      </c>
      <c r="F352" s="24"/>
      <c r="G352" s="24"/>
      <c r="H352" s="24"/>
      <c r="I352" s="24"/>
      <c r="J352" s="24"/>
      <c r="K352" s="24"/>
      <c r="L352" s="24"/>
      <c r="M352" s="24"/>
    </row>
    <row r="353" spans="1:13">
      <c r="A353"/>
      <c r="B353" s="789"/>
      <c r="C353" s="169"/>
      <c r="D353" s="719"/>
      <c r="E353" s="815" t="s">
        <v>2131</v>
      </c>
      <c r="F353" s="24"/>
      <c r="G353" s="24"/>
      <c r="H353" s="24"/>
      <c r="I353" s="24"/>
      <c r="J353" s="24"/>
      <c r="K353" s="24"/>
      <c r="L353" s="24"/>
      <c r="M353" s="24"/>
    </row>
    <row r="354" spans="1:13">
      <c r="A354"/>
      <c r="B354" s="789" t="s">
        <v>2126</v>
      </c>
      <c r="C354" s="792">
        <f>300000/C343</f>
        <v>270270.27027027024</v>
      </c>
      <c r="D354" s="719"/>
      <c r="E354" s="24"/>
      <c r="F354" s="24"/>
      <c r="G354" s="24"/>
      <c r="H354" s="24"/>
      <c r="I354" s="24"/>
      <c r="J354" s="24"/>
      <c r="K354" s="24"/>
      <c r="L354" s="24"/>
      <c r="M354" s="24"/>
    </row>
    <row r="355" spans="1:13">
      <c r="A355"/>
      <c r="B355" s="789" t="s">
        <v>2128</v>
      </c>
      <c r="C355" s="792">
        <f>300000/C344</f>
        <v>194805.1948051948</v>
      </c>
      <c r="D355" s="719"/>
      <c r="E355" s="24"/>
      <c r="F355" s="24"/>
      <c r="G355" s="24"/>
      <c r="H355" s="24"/>
      <c r="I355" s="24"/>
      <c r="J355" s="24"/>
      <c r="K355" s="24"/>
      <c r="L355" s="24"/>
      <c r="M355" s="24"/>
    </row>
    <row r="356" spans="1:13" ht="13.5" thickBot="1">
      <c r="A356"/>
      <c r="B356" s="794"/>
      <c r="C356" s="795"/>
      <c r="D356" s="729"/>
      <c r="E356" s="24"/>
      <c r="F356" s="24"/>
      <c r="G356" s="24"/>
      <c r="H356" s="24"/>
      <c r="I356" s="24"/>
      <c r="J356" s="24"/>
      <c r="K356" s="24"/>
      <c r="L356" s="24"/>
      <c r="M356" s="24"/>
    </row>
    <row r="357" spans="1:13">
      <c r="E357" s="24"/>
      <c r="F357" s="24"/>
      <c r="G357" s="24"/>
      <c r="H357" s="24"/>
      <c r="I357" s="24"/>
      <c r="J357" s="24"/>
      <c r="K357" s="346"/>
      <c r="L357" s="24"/>
      <c r="M357" s="24"/>
    </row>
    <row r="358" spans="1:13">
      <c r="E358" s="24"/>
      <c r="F358" s="24"/>
      <c r="G358" s="24"/>
      <c r="H358" s="24"/>
      <c r="I358" s="24"/>
      <c r="J358" s="24"/>
      <c r="K358" s="346"/>
      <c r="L358" s="24"/>
      <c r="M358" s="24"/>
    </row>
    <row r="359" spans="1:13">
      <c r="B359" s="1"/>
      <c r="C359" s="1"/>
      <c r="E359" s="24"/>
      <c r="F359" s="24"/>
      <c r="G359" s="24"/>
      <c r="H359" s="24"/>
      <c r="I359" s="24"/>
      <c r="J359" s="24"/>
      <c r="K359" s="346"/>
      <c r="L359" s="24"/>
      <c r="M359" s="24"/>
    </row>
    <row r="360" spans="1:13">
      <c r="B360" s="1"/>
      <c r="C360" s="1"/>
      <c r="E360" s="24"/>
      <c r="F360" s="24"/>
      <c r="G360" s="24"/>
      <c r="H360" s="24"/>
      <c r="I360" s="24"/>
      <c r="J360" s="24"/>
      <c r="K360" s="24"/>
      <c r="L360" s="24"/>
      <c r="M360" s="24"/>
    </row>
    <row r="361" spans="1:13">
      <c r="B361" s="1" t="s">
        <v>2293</v>
      </c>
      <c r="C361" s="1"/>
      <c r="E361" s="24"/>
      <c r="F361" s="24"/>
      <c r="G361" s="24"/>
      <c r="H361" s="24"/>
      <c r="I361" s="24"/>
      <c r="J361" s="24"/>
      <c r="K361" s="24"/>
      <c r="L361" s="24"/>
      <c r="M361" s="24"/>
    </row>
    <row r="362" spans="1:13">
      <c r="B362" s="1" t="s">
        <v>2294</v>
      </c>
      <c r="C362" s="1"/>
      <c r="E362" s="24"/>
      <c r="F362" s="24"/>
      <c r="G362" s="24"/>
      <c r="H362" s="24"/>
      <c r="I362" s="24"/>
      <c r="J362" s="24"/>
      <c r="K362" s="24"/>
      <c r="L362" s="24"/>
      <c r="M362" s="24"/>
    </row>
    <row r="363" spans="1:13">
      <c r="B363" s="1" t="s">
        <v>2295</v>
      </c>
      <c r="C363" s="1"/>
      <c r="E363" s="24"/>
      <c r="F363" s="24"/>
      <c r="G363" s="24"/>
      <c r="H363" s="24"/>
      <c r="I363" s="24"/>
      <c r="J363" s="24"/>
      <c r="K363" s="24"/>
      <c r="L363" s="24"/>
      <c r="M363" s="24"/>
    </row>
    <row r="364" spans="1:13">
      <c r="B364" s="1"/>
      <c r="C364" s="1"/>
      <c r="E364" s="24"/>
      <c r="F364" s="24"/>
      <c r="G364" s="24"/>
      <c r="H364" s="24"/>
      <c r="I364" s="24"/>
      <c r="J364" s="24"/>
      <c r="K364" s="24"/>
      <c r="L364" s="24"/>
      <c r="M364" s="24"/>
    </row>
    <row r="365" spans="1:13">
      <c r="B365" s="1" t="s">
        <v>1206</v>
      </c>
      <c r="C365" s="326">
        <v>1.6</v>
      </c>
      <c r="E365" s="24"/>
      <c r="F365" s="24"/>
      <c r="G365" s="24"/>
      <c r="H365" s="24"/>
      <c r="I365" s="24"/>
      <c r="J365" s="24"/>
      <c r="K365" s="24"/>
      <c r="L365" s="24"/>
      <c r="M365" s="24"/>
    </row>
    <row r="366" spans="1:13">
      <c r="B366" s="1" t="s">
        <v>1207</v>
      </c>
      <c r="C366" s="326">
        <v>1.1000000000000001</v>
      </c>
      <c r="E366" s="24"/>
      <c r="F366" s="24"/>
      <c r="G366" s="24"/>
      <c r="H366" s="24"/>
      <c r="I366" s="24"/>
      <c r="J366" s="24"/>
      <c r="K366" s="24"/>
      <c r="L366" s="24"/>
      <c r="M366" s="24"/>
    </row>
    <row r="367" spans="1:13">
      <c r="B367" s="1" t="s">
        <v>2296</v>
      </c>
      <c r="C367" s="326">
        <v>43.4</v>
      </c>
      <c r="D367" s="1" t="s">
        <v>1846</v>
      </c>
      <c r="E367" s="24" t="s">
        <v>2297</v>
      </c>
      <c r="F367" s="24"/>
      <c r="G367" s="24"/>
      <c r="H367" s="24"/>
      <c r="I367" s="24"/>
      <c r="J367" s="24"/>
      <c r="K367" s="24"/>
      <c r="L367" s="24"/>
      <c r="M367" s="24"/>
    </row>
    <row r="368" spans="1:13">
      <c r="B368" s="1"/>
      <c r="C368" s="1"/>
      <c r="E368" s="24"/>
      <c r="F368" s="24"/>
      <c r="G368" s="24"/>
      <c r="H368" s="24"/>
      <c r="I368" s="24"/>
      <c r="J368" s="24"/>
      <c r="K368" s="24"/>
      <c r="L368" s="24"/>
      <c r="M368" s="24"/>
    </row>
    <row r="369" spans="1:13">
      <c r="B369" s="1" t="s">
        <v>2298</v>
      </c>
      <c r="C369" s="1">
        <f>RADIANS(C367)</f>
        <v>0.75747289536553897</v>
      </c>
      <c r="E369" s="24" t="s">
        <v>2299</v>
      </c>
      <c r="F369" s="24"/>
      <c r="G369" s="24"/>
      <c r="H369" s="24"/>
      <c r="I369" s="24"/>
      <c r="J369" s="24"/>
      <c r="K369" s="24"/>
      <c r="L369" s="24"/>
      <c r="M369" s="24"/>
    </row>
    <row r="370" spans="1:13">
      <c r="B370" s="1" t="s">
        <v>2300</v>
      </c>
      <c r="C370" s="1">
        <f>SIN(C369)</f>
        <v>0.68708751080442299</v>
      </c>
      <c r="E370" s="24"/>
      <c r="F370" s="24"/>
      <c r="G370" s="24"/>
      <c r="H370" s="24"/>
      <c r="I370" s="24"/>
      <c r="J370" s="24"/>
      <c r="K370" s="24"/>
      <c r="L370" s="24"/>
      <c r="M370" s="24"/>
    </row>
    <row r="371" spans="1:13">
      <c r="B371" s="1"/>
      <c r="C371" s="1"/>
      <c r="E371" s="24"/>
      <c r="F371" s="24"/>
      <c r="G371" s="24"/>
      <c r="H371" s="24"/>
      <c r="I371" s="24"/>
      <c r="J371" s="24"/>
      <c r="K371" s="24"/>
      <c r="L371" s="24"/>
      <c r="M371" s="24"/>
    </row>
    <row r="372" spans="1:13">
      <c r="B372" s="1" t="s">
        <v>2301</v>
      </c>
      <c r="C372" s="1">
        <f>C370*C365/C366</f>
        <v>0.99940001571552439</v>
      </c>
      <c r="E372" s="24"/>
      <c r="F372" s="24"/>
      <c r="G372" s="24"/>
      <c r="H372" s="24"/>
      <c r="I372" s="24"/>
      <c r="J372" s="24"/>
      <c r="K372" s="24"/>
      <c r="L372" s="24"/>
      <c r="M372" s="24"/>
    </row>
    <row r="373" spans="1:13">
      <c r="B373" s="1" t="s">
        <v>2302</v>
      </c>
      <c r="C373" s="1">
        <f>ASIN(C372)</f>
        <v>1.5361540320979905</v>
      </c>
      <c r="E373" s="24"/>
      <c r="F373" s="24"/>
      <c r="G373" s="24"/>
      <c r="H373" s="24"/>
      <c r="I373" s="24"/>
      <c r="J373" s="24"/>
      <c r="K373" s="24"/>
      <c r="L373" s="24"/>
      <c r="M373" s="24"/>
    </row>
    <row r="374" spans="1:13">
      <c r="B374" s="1" t="s">
        <v>2303</v>
      </c>
      <c r="C374" s="1">
        <f>DEGREES(C373)</f>
        <v>88.015142721218851</v>
      </c>
      <c r="E374" s="24" t="s">
        <v>2304</v>
      </c>
      <c r="F374" s="24"/>
      <c r="G374" s="24"/>
      <c r="H374" s="24"/>
      <c r="I374" s="24"/>
      <c r="J374" s="24"/>
      <c r="K374" s="24"/>
      <c r="L374" s="24"/>
      <c r="M374" s="24"/>
    </row>
    <row r="375" spans="1:13">
      <c r="B375" s="11"/>
      <c r="C375" s="11"/>
      <c r="E375" s="24"/>
      <c r="F375" s="24"/>
      <c r="G375" s="24"/>
      <c r="H375" s="24"/>
      <c r="I375" s="24"/>
      <c r="J375" s="24"/>
      <c r="K375" s="24"/>
      <c r="L375" s="24"/>
      <c r="M375" s="24"/>
    </row>
    <row r="376" spans="1:13">
      <c r="B376" s="1"/>
      <c r="C376" s="1"/>
      <c r="E376" s="24"/>
      <c r="F376" s="24"/>
      <c r="G376" s="24"/>
      <c r="H376" s="24"/>
      <c r="I376" s="24"/>
      <c r="J376" s="24"/>
      <c r="K376" s="24"/>
      <c r="L376" s="24"/>
      <c r="M376" s="24"/>
    </row>
    <row r="377" spans="1:13">
      <c r="B377" s="1" t="s">
        <v>2305</v>
      </c>
      <c r="C377" s="1"/>
      <c r="E377" s="24" t="s">
        <v>2306</v>
      </c>
      <c r="F377" s="24"/>
      <c r="G377" s="24"/>
      <c r="H377" s="24"/>
      <c r="I377" s="24"/>
      <c r="J377" s="24"/>
      <c r="K377" s="24"/>
      <c r="L377" s="24"/>
      <c r="M377" s="24"/>
    </row>
    <row r="378" spans="1:13">
      <c r="B378" s="1"/>
      <c r="C378" s="1"/>
      <c r="E378" s="24"/>
      <c r="F378" s="24"/>
      <c r="G378" s="24"/>
      <c r="H378" s="24"/>
      <c r="I378" s="24"/>
      <c r="J378" s="24"/>
      <c r="K378" s="24"/>
      <c r="L378" s="24"/>
      <c r="M378" s="24"/>
    </row>
    <row r="379" spans="1:13">
      <c r="B379" s="1"/>
      <c r="C379" s="1"/>
      <c r="E379" s="24"/>
      <c r="F379" s="24"/>
      <c r="G379" s="24"/>
      <c r="H379" s="24"/>
      <c r="I379" s="24"/>
      <c r="J379" s="24"/>
      <c r="K379" s="346"/>
      <c r="L379" s="24"/>
      <c r="M379" s="24"/>
    </row>
    <row r="380" spans="1:13">
      <c r="A380"/>
      <c r="B380" s="1"/>
      <c r="C380" s="1"/>
      <c r="E380" s="24"/>
      <c r="F380" s="24"/>
      <c r="G380" s="24"/>
      <c r="H380" s="24"/>
      <c r="I380" s="24"/>
      <c r="J380" s="24"/>
      <c r="K380" s="24"/>
      <c r="L380" s="24"/>
      <c r="M380" s="24"/>
    </row>
    <row r="381" spans="1:13">
      <c r="B381" s="1" t="s">
        <v>1206</v>
      </c>
      <c r="C381" s="326">
        <v>1.67</v>
      </c>
      <c r="E381" s="24"/>
      <c r="F381" s="24"/>
      <c r="G381" s="24"/>
      <c r="H381" s="24"/>
      <c r="I381" s="24"/>
      <c r="J381" s="24"/>
      <c r="K381" s="346"/>
      <c r="L381" s="24"/>
      <c r="M381" s="24"/>
    </row>
    <row r="382" spans="1:13">
      <c r="B382" s="1" t="s">
        <v>1207</v>
      </c>
      <c r="C382" s="326">
        <v>1.1399999999999999</v>
      </c>
      <c r="E382" s="24"/>
      <c r="F382" s="24"/>
      <c r="G382" s="24"/>
      <c r="H382" s="24"/>
      <c r="I382" s="24"/>
      <c r="J382" s="24"/>
      <c r="K382" s="346"/>
      <c r="L382" s="24"/>
      <c r="M382" s="24"/>
    </row>
    <row r="383" spans="1:13">
      <c r="B383" s="1" t="s">
        <v>2307</v>
      </c>
      <c r="C383" s="1">
        <f>C382/C381</f>
        <v>0.6826347305389221</v>
      </c>
    </row>
    <row r="384" spans="1:13">
      <c r="B384" s="1" t="s">
        <v>2308</v>
      </c>
      <c r="C384" s="1">
        <f>ASIN(C383)</f>
        <v>0.7513620585953712</v>
      </c>
    </row>
    <row r="385" spans="2:5">
      <c r="B385" s="1" t="s">
        <v>1846</v>
      </c>
      <c r="C385" s="1">
        <f>DEGREES(C384)</f>
        <v>43.049874843776031</v>
      </c>
      <c r="D385" s="1" t="s">
        <v>1846</v>
      </c>
    </row>
    <row r="386" spans="2:5">
      <c r="B386" s="11"/>
      <c r="C386" s="11"/>
    </row>
    <row r="387" spans="2:5">
      <c r="B387" s="8"/>
      <c r="C387" s="8"/>
    </row>
    <row r="388" spans="2:5">
      <c r="B388" s="1" t="s">
        <v>2305</v>
      </c>
      <c r="C388" s="8"/>
    </row>
    <row r="389" spans="2:5">
      <c r="B389" s="1"/>
      <c r="C389" s="1"/>
    </row>
    <row r="390" spans="2:5">
      <c r="B390" s="1" t="s">
        <v>1206</v>
      </c>
      <c r="C390" s="326">
        <v>1.1000000000000001</v>
      </c>
    </row>
    <row r="391" spans="2:5">
      <c r="B391" s="1" t="s">
        <v>1207</v>
      </c>
      <c r="C391" s="326">
        <v>1.6</v>
      </c>
    </row>
    <row r="392" spans="2:5">
      <c r="B392" s="1" t="s">
        <v>2296</v>
      </c>
      <c r="C392" s="326">
        <v>90</v>
      </c>
      <c r="D392" s="1" t="s">
        <v>1846</v>
      </c>
      <c r="E392" s="1" t="s">
        <v>2309</v>
      </c>
    </row>
    <row r="393" spans="2:5">
      <c r="B393" s="1"/>
      <c r="C393" s="1"/>
    </row>
    <row r="394" spans="2:5">
      <c r="B394" s="1" t="s">
        <v>2298</v>
      </c>
      <c r="C394" s="1">
        <f>RADIANS(C392)</f>
        <v>1.5707963267948966</v>
      </c>
    </row>
    <row r="395" spans="2:5">
      <c r="B395" s="1" t="s">
        <v>2300</v>
      </c>
      <c r="C395" s="1">
        <f>SIN(C394)</f>
        <v>1</v>
      </c>
    </row>
    <row r="396" spans="2:5">
      <c r="B396" s="1"/>
      <c r="C396" s="1"/>
    </row>
    <row r="397" spans="2:5">
      <c r="B397" s="1" t="s">
        <v>2301</v>
      </c>
      <c r="C397" s="1">
        <f>C395*C390/C391</f>
        <v>0.6875</v>
      </c>
    </row>
    <row r="398" spans="2:5">
      <c r="B398" s="1" t="s">
        <v>2302</v>
      </c>
      <c r="C398" s="1">
        <f>ASIN(C397)</f>
        <v>0.758040765426236</v>
      </c>
    </row>
    <row r="399" spans="2:5">
      <c r="B399" s="1" t="s">
        <v>2303</v>
      </c>
      <c r="C399" s="1">
        <f>DEGREES(C398)</f>
        <v>43.432536557789774</v>
      </c>
    </row>
    <row r="400" spans="2:5">
      <c r="B400" s="1"/>
      <c r="C400" s="1"/>
    </row>
  </sheetData>
  <hyperlinks>
    <hyperlink ref="B16" r:id="rId1" tooltip="Vakuum" display="http://de.wikipedia.org/wiki/Vakuum"/>
    <hyperlink ref="B17" r:id="rId2" tooltip="Luft" display="http://de.wikipedia.org/wiki/Luft"/>
    <hyperlink ref="B18" r:id="rId3" tooltip="Plasma (Physik)" display="http://de.wikipedia.org/wiki/Plasma_(Physik)"/>
    <hyperlink ref="B20" r:id="rId4" tooltip="Aerogel" display="http://de.wikipedia.org/wiki/Aerogel"/>
    <hyperlink ref="B21" r:id="rId5" tooltip="Eis" display="http://de.wikipedia.org/wiki/Eis"/>
    <hyperlink ref="B22" r:id="rId6" tooltip="Wasser" display="http://de.wikipedia.org/wiki/Wasser"/>
    <hyperlink ref="B23" r:id="rId7" tooltip="Linse (Auge)" display="http://de.wikipedia.org/wiki/Linse_(Auge)"/>
    <hyperlink ref="B25" r:id="rId8" tooltip="Magnesiumfluorid" display="http://de.wikipedia.org/wiki/Magnesiumfluorid"/>
    <hyperlink ref="B27" r:id="rId9" tooltip="Epidermis (Wirbeltiere)" display="http://de.wikipedia.org/wiki/Epidermis_(Wirbeltiere)"/>
    <hyperlink ref="B28" r:id="rId10" tooltip="Tetrachlorkohlenstoff" display="http://de.wikipedia.org/wiki/Tetrachlorkohlenstoff"/>
    <hyperlink ref="B29" r:id="rId11" tooltip="Quarzglas" display="http://de.wikipedia.org/wiki/Quarzglas"/>
    <hyperlink ref="B30" r:id="rId12" tooltip="Glyzerin" display="http://de.wikipedia.org/wiki/Glyzerin"/>
    <hyperlink ref="B31" r:id="rId13" tooltip="Celluloseacetat" display="http://de.wikipedia.org/wiki/Celluloseacetat"/>
    <hyperlink ref="B32" r:id="rId14" tooltip="PMMA" display="http://de.wikipedia.org/wiki/PMMA"/>
    <hyperlink ref="B33" r:id="rId15" tooltip="Benzol" display="http://de.wikipedia.org/wiki/Benzol"/>
    <hyperlink ref="B34" r:id="rId16" tooltip="Kronglas" display="http://de.wikipedia.org/wiki/Kronglas"/>
    <hyperlink ref="B35" r:id="rId17" tooltip="Deckglas" display="http://de.wikipedia.org/wiki/Deckglas"/>
    <hyperlink ref="B36" r:id="rId18" tooltip="Cyclo-Olefin-Copolymere" display="http://de.wikipedia.org/wiki/Cyclo-Olefin-Copolymere"/>
    <hyperlink ref="B37" r:id="rId19" tooltip="Polymethacrylmethylimid" display="http://de.wikipedia.org/wiki/Polymethacrylmethylimid"/>
    <hyperlink ref="B38" r:id="rId20" tooltip="Quarz" display="http://de.wikipedia.org/wiki/Quarz"/>
    <hyperlink ref="B39" r:id="rId21" tooltip="Halit" display="http://de.wikipedia.org/wiki/Halit"/>
    <hyperlink ref="B40" r:id="rId22" tooltip="Polystyrol" display="http://de.wikipedia.org/wiki/Polystyrol"/>
    <hyperlink ref="B41" r:id="rId23" tooltip="Polycarbonate" display="http://de.wikipedia.org/wiki/Polycarbonate"/>
    <hyperlink ref="B42" r:id="rId24" tooltip="Epoxidharz" display="http://de.wikipedia.org/wiki/Epoxidharz"/>
    <hyperlink ref="B43" r:id="rId25" tooltip="Flintglas" display="http://de.wikipedia.org/wiki/Flintglas"/>
    <hyperlink ref="B44" r:id="rId26" tooltip="Kohlenstoffdisulfid" display="http://de.wikipedia.org/wiki/Kohlenstoffdisulfid"/>
    <hyperlink ref="B45" r:id="rId27" tooltip="Brille" display="http://de.wikipedia.org/wiki/Brille"/>
    <hyperlink ref="B46" r:id="rId28" tooltip="Diiodmethan" display="http://de.wikipedia.org/wiki/Diiodmethan"/>
    <hyperlink ref="B48" r:id="rId29" tooltip="Brille" display="http://de.wikipedia.org/wiki/Brille"/>
    <hyperlink ref="B49" r:id="rId30" tooltip="Glas" display="http://de.wikipedia.org/wiki/Glas"/>
    <hyperlink ref="B50" r:id="rId31" tooltip="Bleikristall" display="http://de.wikipedia.org/wiki/Bleikristall"/>
    <hyperlink ref="B51" r:id="rId32" tooltip="Zirkon" display="http://de.wikipedia.org/wiki/Zirkon"/>
    <hyperlink ref="B52" r:id="rId33" tooltip="Schwefel" display="http://de.wikipedia.org/wiki/Schwefel"/>
    <hyperlink ref="B53" r:id="rId34" tooltip="Zinksulfid" display="http://de.wikipedia.org/wiki/Zinksulfid"/>
    <hyperlink ref="B54" r:id="rId35" tooltip="Diamant" display="http://de.wikipedia.org/wiki/Diamant"/>
    <hyperlink ref="B55" r:id="rId36" tooltip="Titandioxid" display="http://de.wikipedia.org/wiki/Titandioxid"/>
    <hyperlink ref="B56" r:id="rId37" tooltip="Siliciumcarbid" display="http://de.wikipedia.org/wiki/Siliciumcarbid"/>
    <hyperlink ref="B57" r:id="rId38" tooltip="Titandioxid" display="http://de.wikipedia.org/wiki/Titandioxid"/>
    <hyperlink ref="B58" r:id="rId39" tooltip="Bleisulfid" display="http://de.wikipedia.org/wiki/Bleisulfid"/>
  </hyperlinks>
  <pageMargins left="0.78740157499999996" right="0.78740157499999996" top="0.984251969" bottom="0.984251969" header="0.4921259845" footer="0.4921259845"/>
  <pageSetup paperSize="9" orientation="portrait" horizontalDpi="300" verticalDpi="300" r:id="rId40"/>
  <headerFooter alignWithMargins="0"/>
  <drawing r:id="rId4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1"/>
  <dimension ref="B2:K166"/>
  <sheetViews>
    <sheetView workbookViewId="0">
      <selection activeCell="R42" sqref="R42"/>
    </sheetView>
  </sheetViews>
  <sheetFormatPr baseColWidth="10" defaultColWidth="11.42578125" defaultRowHeight="12.75"/>
  <cols>
    <col min="1" max="1" width="11.42578125" style="816"/>
    <col min="2" max="2" width="27.5703125" style="816" customWidth="1"/>
    <col min="3" max="3" width="10.85546875" style="816" customWidth="1"/>
    <col min="4" max="16384" width="11.42578125" style="816"/>
  </cols>
  <sheetData>
    <row r="2" spans="2:11">
      <c r="B2" s="816" t="s">
        <v>2376</v>
      </c>
      <c r="C2" s="816" t="s">
        <v>2377</v>
      </c>
    </row>
    <row r="3" spans="2:11">
      <c r="C3" s="816" t="s">
        <v>2378</v>
      </c>
    </row>
    <row r="4" spans="2:11">
      <c r="C4" s="816" t="s">
        <v>2380</v>
      </c>
    </row>
    <row r="5" spans="2:11">
      <c r="C5" s="816" t="s">
        <v>2379</v>
      </c>
    </row>
    <row r="6" spans="2:11">
      <c r="C6" s="816" t="s">
        <v>2405</v>
      </c>
    </row>
    <row r="12" spans="2:11">
      <c r="K12"/>
    </row>
    <row r="34" spans="9:9">
      <c r="I34" s="816" t="s">
        <v>2384</v>
      </c>
    </row>
    <row r="36" spans="9:9">
      <c r="I36" s="816" t="s">
        <v>2385</v>
      </c>
    </row>
    <row r="37" spans="9:9">
      <c r="I37" s="816" t="s">
        <v>2381</v>
      </c>
    </row>
    <row r="39" spans="9:9">
      <c r="I39" s="816" t="s">
        <v>2382</v>
      </c>
    </row>
    <row r="40" spans="9:9">
      <c r="I40" s="816" t="s">
        <v>2383</v>
      </c>
    </row>
    <row r="53" spans="2:4">
      <c r="B53" s="816" t="s">
        <v>2325</v>
      </c>
    </row>
    <row r="54" spans="2:4">
      <c r="B54" s="816" t="s">
        <v>2326</v>
      </c>
    </row>
    <row r="55" spans="2:4">
      <c r="B55" s="816" t="s">
        <v>2327</v>
      </c>
    </row>
    <row r="56" spans="2:4">
      <c r="B56" s="816" t="s">
        <v>2328</v>
      </c>
    </row>
    <row r="57" spans="2:4">
      <c r="B57" s="816" t="s">
        <v>2329</v>
      </c>
    </row>
    <row r="59" spans="2:4">
      <c r="B59" s="817"/>
    </row>
    <row r="60" spans="2:4">
      <c r="B60" s="817" t="s">
        <v>2330</v>
      </c>
      <c r="C60" s="818">
        <v>33</v>
      </c>
      <c r="D60" s="816" t="s">
        <v>1846</v>
      </c>
    </row>
    <row r="61" spans="2:4">
      <c r="B61" s="817" t="s">
        <v>2331</v>
      </c>
      <c r="C61" s="818">
        <v>1.05</v>
      </c>
    </row>
    <row r="62" spans="2:4">
      <c r="B62" s="817" t="s">
        <v>2332</v>
      </c>
      <c r="C62" s="818">
        <v>1.55</v>
      </c>
    </row>
    <row r="63" spans="2:4">
      <c r="B63" s="817" t="s">
        <v>2193</v>
      </c>
      <c r="C63" s="818">
        <v>40</v>
      </c>
      <c r="D63" s="816" t="s">
        <v>1846</v>
      </c>
    </row>
    <row r="64" spans="2:4">
      <c r="B64" s="817"/>
    </row>
    <row r="65" spans="2:5">
      <c r="B65" s="817" t="s">
        <v>2223</v>
      </c>
      <c r="C65" s="816">
        <f>RADIANS(C63)</f>
        <v>0.69813170079773179</v>
      </c>
    </row>
    <row r="66" spans="2:5">
      <c r="B66" s="817" t="s">
        <v>2228</v>
      </c>
      <c r="C66" s="816">
        <f>SIN(C65)</f>
        <v>0.64278760968653925</v>
      </c>
    </row>
    <row r="67" spans="2:5">
      <c r="B67" s="817"/>
    </row>
    <row r="68" spans="2:5">
      <c r="B68" s="817" t="s">
        <v>2333</v>
      </c>
      <c r="C68" s="816">
        <f>C66*C61/C62</f>
        <v>0.43543676785217172</v>
      </c>
    </row>
    <row r="69" spans="2:5">
      <c r="B69" s="817" t="s">
        <v>2334</v>
      </c>
      <c r="C69" s="816">
        <f>ASIN(C68)</f>
        <v>0.45052339925347129</v>
      </c>
    </row>
    <row r="70" spans="2:5">
      <c r="B70" s="819" t="s">
        <v>2335</v>
      </c>
      <c r="C70" s="820">
        <f>DEGREES(C69)</f>
        <v>25.813089349111248</v>
      </c>
      <c r="D70" s="820" t="s">
        <v>1846</v>
      </c>
      <c r="E70" s="816" t="s">
        <v>2336</v>
      </c>
    </row>
    <row r="71" spans="2:5">
      <c r="B71" s="817"/>
    </row>
    <row r="72" spans="2:5">
      <c r="B72" s="817" t="s">
        <v>2337</v>
      </c>
      <c r="C72" s="816">
        <f>90-C70</f>
        <v>64.186910650888748</v>
      </c>
      <c r="D72" s="816" t="s">
        <v>1846</v>
      </c>
    </row>
    <row r="73" spans="2:5">
      <c r="B73" s="817" t="s">
        <v>2338</v>
      </c>
      <c r="C73" s="816">
        <f>180-C60-C72</f>
        <v>82.813089349111252</v>
      </c>
      <c r="D73" s="816" t="s">
        <v>1846</v>
      </c>
    </row>
    <row r="74" spans="2:5">
      <c r="B74" s="817"/>
    </row>
    <row r="75" spans="2:5">
      <c r="B75" s="817" t="s">
        <v>2262</v>
      </c>
      <c r="C75" s="816">
        <f>90-C73</f>
        <v>7.1869106508887484</v>
      </c>
      <c r="D75" s="816" t="s">
        <v>1846</v>
      </c>
    </row>
    <row r="76" spans="2:5">
      <c r="B76" s="817"/>
    </row>
    <row r="77" spans="2:5">
      <c r="B77" s="817" t="s">
        <v>2223</v>
      </c>
      <c r="C77" s="816">
        <f>RADIANS(C75)</f>
        <v>0.1254352539046574</v>
      </c>
    </row>
    <row r="78" spans="2:5">
      <c r="B78" s="817" t="s">
        <v>2228</v>
      </c>
      <c r="C78" s="816">
        <f>SIN(C77)</f>
        <v>0.12510657947088341</v>
      </c>
    </row>
    <row r="79" spans="2:5">
      <c r="B79" s="817"/>
    </row>
    <row r="80" spans="2:5">
      <c r="B80" s="817" t="s">
        <v>2333</v>
      </c>
      <c r="C80" s="816">
        <f>C78*C62/C61</f>
        <v>0.18468114112368503</v>
      </c>
    </row>
    <row r="81" spans="2:8">
      <c r="B81" s="817" t="s">
        <v>2334</v>
      </c>
      <c r="C81" s="816">
        <f>ASIN(C80)</f>
        <v>0.18574741270576367</v>
      </c>
    </row>
    <row r="82" spans="2:8">
      <c r="B82" s="819" t="s">
        <v>2335</v>
      </c>
      <c r="C82" s="820">
        <f>DEGREES(C81)</f>
        <v>10.642542803514941</v>
      </c>
      <c r="D82" s="820" t="s">
        <v>1846</v>
      </c>
    </row>
    <row r="87" spans="2:8">
      <c r="B87" s="816" t="s">
        <v>2339</v>
      </c>
    </row>
    <row r="88" spans="2:8">
      <c r="B88" s="816" t="s">
        <v>2340</v>
      </c>
    </row>
    <row r="89" spans="2:8">
      <c r="B89" s="816" t="s">
        <v>2341</v>
      </c>
    </row>
    <row r="90" spans="2:8">
      <c r="B90" s="816" t="s">
        <v>2402</v>
      </c>
    </row>
    <row r="94" spans="2:8">
      <c r="E94" s="816" t="s">
        <v>2342</v>
      </c>
      <c r="H94" s="816" t="s">
        <v>2403</v>
      </c>
    </row>
    <row r="95" spans="2:8">
      <c r="E95" s="816" t="s">
        <v>2343</v>
      </c>
      <c r="H95" s="816" t="s">
        <v>2404</v>
      </c>
    </row>
    <row r="97" spans="2:5">
      <c r="B97" s="821" t="s">
        <v>2344</v>
      </c>
    </row>
    <row r="104" spans="2:5">
      <c r="B104" s="817" t="s">
        <v>2331</v>
      </c>
      <c r="C104" s="822">
        <v>1</v>
      </c>
    </row>
    <row r="105" spans="2:5">
      <c r="B105" s="817" t="s">
        <v>2332</v>
      </c>
      <c r="C105" s="818">
        <v>1.65</v>
      </c>
    </row>
    <row r="107" spans="2:5">
      <c r="B107" s="817" t="s">
        <v>2345</v>
      </c>
      <c r="C107" s="816">
        <v>180</v>
      </c>
      <c r="D107" s="816" t="s">
        <v>1846</v>
      </c>
    </row>
    <row r="108" spans="2:5">
      <c r="B108" s="817" t="s">
        <v>2346</v>
      </c>
      <c r="C108" s="816">
        <f>C107/3</f>
        <v>60</v>
      </c>
      <c r="D108" s="816" t="s">
        <v>1846</v>
      </c>
    </row>
    <row r="109" spans="2:5">
      <c r="B109" s="817"/>
    </row>
    <row r="110" spans="2:5">
      <c r="B110" s="817" t="s">
        <v>2347</v>
      </c>
      <c r="C110" s="816">
        <f>C108</f>
        <v>60</v>
      </c>
      <c r="D110" s="816" t="s">
        <v>1846</v>
      </c>
    </row>
    <row r="111" spans="2:5">
      <c r="B111" s="819" t="s">
        <v>2204</v>
      </c>
      <c r="C111" s="816">
        <f>90-C110</f>
        <v>30</v>
      </c>
      <c r="D111" s="816" t="s">
        <v>1846</v>
      </c>
    </row>
    <row r="112" spans="2:5">
      <c r="B112" s="817"/>
      <c r="E112" s="816" t="s">
        <v>2348</v>
      </c>
    </row>
    <row r="113" spans="2:4">
      <c r="B113" s="817" t="s">
        <v>2231</v>
      </c>
      <c r="C113" s="816">
        <f>RADIANS(C111)</f>
        <v>0.52359877559829882</v>
      </c>
    </row>
    <row r="114" spans="2:4">
      <c r="B114" s="817" t="s">
        <v>2333</v>
      </c>
      <c r="C114" s="823">
        <f>SIN(C113)</f>
        <v>0.49999999999999994</v>
      </c>
    </row>
    <row r="115" spans="2:4">
      <c r="B115" s="817"/>
    </row>
    <row r="116" spans="2:4">
      <c r="B116" s="817" t="s">
        <v>2316</v>
      </c>
      <c r="C116" s="816">
        <f>C114*C105/C104</f>
        <v>0.82499999999999984</v>
      </c>
    </row>
    <row r="117" spans="2:4">
      <c r="B117" s="817" t="s">
        <v>2349</v>
      </c>
      <c r="C117" s="816">
        <f>ASIN(C116)</f>
        <v>0.97020219992884538</v>
      </c>
    </row>
    <row r="118" spans="2:4">
      <c r="B118" s="819" t="s">
        <v>2350</v>
      </c>
      <c r="C118" s="820">
        <f>DEGREES(C117)</f>
        <v>55.588491330230539</v>
      </c>
      <c r="D118" s="816" t="s">
        <v>1846</v>
      </c>
    </row>
    <row r="120" spans="2:4">
      <c r="B120" s="817" t="s">
        <v>2351</v>
      </c>
      <c r="C120" s="818">
        <v>30</v>
      </c>
      <c r="D120" s="816" t="s">
        <v>1846</v>
      </c>
    </row>
    <row r="121" spans="2:4">
      <c r="B121" s="817" t="s">
        <v>1938</v>
      </c>
      <c r="C121" s="816">
        <f>RADIANS(C120)</f>
        <v>0.52359877559829882</v>
      </c>
    </row>
    <row r="122" spans="2:4">
      <c r="B122" s="817" t="s">
        <v>2352</v>
      </c>
      <c r="C122" s="816">
        <f>SIN(C121)</f>
        <v>0.49999999999999994</v>
      </c>
    </row>
    <row r="123" spans="2:4">
      <c r="B123" s="817"/>
    </row>
    <row r="124" spans="2:4">
      <c r="B124" s="817" t="s">
        <v>2333</v>
      </c>
      <c r="C124" s="816">
        <f>C122*C104/C105</f>
        <v>0.30303030303030304</v>
      </c>
    </row>
    <row r="125" spans="2:4">
      <c r="B125" s="817" t="s">
        <v>1938</v>
      </c>
      <c r="C125" s="816">
        <f>ASIN(C124)</f>
        <v>0.30787086839805328</v>
      </c>
    </row>
    <row r="126" spans="2:4">
      <c r="B126" s="817" t="s">
        <v>1870</v>
      </c>
      <c r="C126" s="816">
        <f>DEGREES(C125)</f>
        <v>17.639701394236045</v>
      </c>
    </row>
    <row r="127" spans="2:4">
      <c r="B127" s="817"/>
    </row>
    <row r="128" spans="2:4">
      <c r="B128" s="817"/>
    </row>
    <row r="129" spans="2:6">
      <c r="B129" s="816" t="s">
        <v>2353</v>
      </c>
    </row>
    <row r="130" spans="2:6">
      <c r="B130" s="816" t="s">
        <v>2354</v>
      </c>
    </row>
    <row r="131" spans="2:6">
      <c r="B131" s="816" t="s">
        <v>2355</v>
      </c>
    </row>
    <row r="132" spans="2:6">
      <c r="B132" s="816" t="s">
        <v>2356</v>
      </c>
    </row>
    <row r="135" spans="2:6">
      <c r="F135" s="816" t="s">
        <v>2357</v>
      </c>
    </row>
    <row r="136" spans="2:6">
      <c r="F136" s="816" t="s">
        <v>2358</v>
      </c>
    </row>
    <row r="137" spans="2:6">
      <c r="F137" s="816" t="s">
        <v>2359</v>
      </c>
    </row>
    <row r="138" spans="2:6">
      <c r="F138" s="816" t="s">
        <v>2360</v>
      </c>
    </row>
    <row r="139" spans="2:6">
      <c r="F139" s="816" t="s">
        <v>2361</v>
      </c>
    </row>
    <row r="140" spans="2:6">
      <c r="F140" s="816" t="s">
        <v>2362</v>
      </c>
    </row>
    <row r="148" spans="2:6">
      <c r="B148" s="816" t="s">
        <v>2363</v>
      </c>
      <c r="C148" s="824">
        <v>1.2</v>
      </c>
    </row>
    <row r="149" spans="2:6">
      <c r="B149" s="816" t="s">
        <v>2364</v>
      </c>
      <c r="C149" s="824">
        <v>1.6</v>
      </c>
    </row>
    <row r="151" spans="2:6">
      <c r="B151" s="816" t="s">
        <v>2193</v>
      </c>
      <c r="C151" s="825">
        <v>25</v>
      </c>
      <c r="D151" s="816" t="s">
        <v>1846</v>
      </c>
      <c r="F151" s="816" t="s">
        <v>2365</v>
      </c>
    </row>
    <row r="152" spans="2:6">
      <c r="B152" s="816" t="s">
        <v>2366</v>
      </c>
      <c r="C152" s="824">
        <v>20.902559700000001</v>
      </c>
      <c r="D152" s="816" t="s">
        <v>1846</v>
      </c>
      <c r="F152" s="816" t="s">
        <v>2367</v>
      </c>
    </row>
    <row r="154" spans="2:6">
      <c r="B154" s="816" t="s">
        <v>2316</v>
      </c>
      <c r="C154" s="816">
        <f>SIN(RADIANS(C151))</f>
        <v>0.42261826174069944</v>
      </c>
    </row>
    <row r="155" spans="2:6">
      <c r="B155" s="816" t="s">
        <v>2368</v>
      </c>
      <c r="C155" s="816">
        <f>SIN(RADIANS(C152))</f>
        <v>0.35677973472867353</v>
      </c>
    </row>
    <row r="157" spans="2:6">
      <c r="B157" s="816" t="s">
        <v>2369</v>
      </c>
      <c r="C157" s="816">
        <f>C154*C148/C149</f>
        <v>0.31696369630552457</v>
      </c>
    </row>
    <row r="158" spans="2:6">
      <c r="B158" s="816" t="s">
        <v>2370</v>
      </c>
      <c r="C158" s="816">
        <f>C155*C148/C149</f>
        <v>0.26758480104650512</v>
      </c>
    </row>
    <row r="160" spans="2:6">
      <c r="B160" s="816" t="s">
        <v>2371</v>
      </c>
      <c r="C160" s="826">
        <f>DEGREES(ASIN(C157))</f>
        <v>18.479401125265234</v>
      </c>
      <c r="D160" s="816" t="s">
        <v>1846</v>
      </c>
    </row>
    <row r="161" spans="2:4">
      <c r="B161" s="816" t="s">
        <v>2372</v>
      </c>
      <c r="C161" s="826">
        <f>DEGREES(ASIN(C158))</f>
        <v>15.520598849379722</v>
      </c>
      <c r="D161" s="816" t="s">
        <v>1846</v>
      </c>
    </row>
    <row r="163" spans="2:4">
      <c r="B163" s="816" t="s">
        <v>2373</v>
      </c>
      <c r="C163" s="826">
        <f>90-C160</f>
        <v>71.520598874734759</v>
      </c>
      <c r="D163" s="816" t="s">
        <v>1846</v>
      </c>
    </row>
    <row r="164" spans="2:4">
      <c r="B164" s="816" t="s">
        <v>2374</v>
      </c>
      <c r="C164" s="826">
        <f>90-C161</f>
        <v>74.479401150620276</v>
      </c>
      <c r="D164" s="816" t="s">
        <v>1846</v>
      </c>
    </row>
    <row r="166" spans="2:4">
      <c r="B166" s="816" t="s">
        <v>2375</v>
      </c>
      <c r="C166" s="826">
        <f>180-C164-C163</f>
        <v>33.999999974644965</v>
      </c>
      <c r="D166" s="816" t="s">
        <v>1846</v>
      </c>
    </row>
  </sheetData>
  <pageMargins left="0.78740157499999996" right="0.78740157499999996" top="0.984251969" bottom="0.984251969" header="0.4921259845" footer="0.4921259845"/>
  <pageSetup paperSize="9" orientation="portrait" r:id="rId1"/>
  <headerFooter alignWithMargins="0"/>
  <drawing r:id="rId2"/>
  <legacyDrawing r:id="rId3"/>
  <oleObjects>
    <mc:AlternateContent xmlns:mc="http://schemas.openxmlformats.org/markup-compatibility/2006">
      <mc:Choice Requires="x14">
        <oleObject shapeId="26625" r:id="rId4">
          <objectPr defaultSize="0" autoPict="0" r:id="rId5">
            <anchor moveWithCells="1">
              <from>
                <xdr:col>1</xdr:col>
                <xdr:colOff>1809750</xdr:colOff>
                <xdr:row>8</xdr:row>
                <xdr:rowOff>9525</xdr:rowOff>
              </from>
              <to>
                <xdr:col>6</xdr:col>
                <xdr:colOff>695325</xdr:colOff>
                <xdr:row>40</xdr:row>
                <xdr:rowOff>123825</xdr:rowOff>
              </to>
            </anchor>
          </objectPr>
        </oleObject>
      </mc:Choice>
      <mc:Fallback>
        <oleObject shapeId="266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9"/>
  <sheetViews>
    <sheetView zoomScale="90" zoomScaleNormal="90" workbookViewId="0">
      <selection activeCell="L57" sqref="L57"/>
    </sheetView>
  </sheetViews>
  <sheetFormatPr baseColWidth="10" defaultRowHeight="12.75"/>
  <sheetData>
    <row r="1" spans="3:3" s="24" customFormat="1"/>
    <row r="2" spans="3:3" s="24" customFormat="1">
      <c r="C2" s="65" t="s">
        <v>4489</v>
      </c>
    </row>
    <row r="3" spans="3:3" s="24" customFormat="1"/>
    <row r="4" spans="3:3" s="24" customFormat="1"/>
    <row r="5" spans="3:3" s="24" customFormat="1"/>
    <row r="6" spans="3:3" s="24" customFormat="1"/>
    <row r="7" spans="3:3" s="24" customFormat="1"/>
    <row r="8" spans="3:3" s="24" customFormat="1"/>
    <row r="9" spans="3:3" s="24" customFormat="1"/>
    <row r="10" spans="3:3" s="24" customFormat="1"/>
    <row r="11" spans="3:3" s="24" customFormat="1"/>
    <row r="12" spans="3:3" s="24" customFormat="1"/>
    <row r="13" spans="3:3" s="24" customFormat="1"/>
    <row r="14" spans="3:3" s="24" customFormat="1"/>
    <row r="15" spans="3:3" s="24" customFormat="1"/>
    <row r="16" spans="3:3" s="24" customFormat="1"/>
    <row r="17" spans="1:35" s="24" customFormat="1"/>
    <row r="18" spans="1:35" s="24" customFormat="1"/>
    <row r="19" spans="1:35" s="24" customFormat="1"/>
    <row r="20" spans="1:35" s="24" customFormat="1"/>
    <row r="21" spans="1:35">
      <c r="A21" s="24"/>
      <c r="K21" s="24"/>
      <c r="L21" s="24"/>
      <c r="M21" s="24"/>
      <c r="N21" s="24"/>
      <c r="O21" s="24"/>
      <c r="P21" s="24"/>
      <c r="Q21" s="24"/>
      <c r="R21" s="24"/>
      <c r="S21" s="24"/>
      <c r="T21" s="24"/>
      <c r="U21" s="24"/>
      <c r="V21" s="24"/>
      <c r="W21" s="24"/>
      <c r="X21" s="24"/>
      <c r="Y21" s="24"/>
      <c r="Z21" s="24"/>
    </row>
    <row r="22" spans="1:3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C22" s="24"/>
      <c r="AD22" s="24"/>
      <c r="AE22" s="24"/>
      <c r="AF22" s="24"/>
      <c r="AG22" s="24"/>
      <c r="AH22" s="24"/>
      <c r="AI22" s="24"/>
    </row>
    <row r="23" spans="1:35">
      <c r="A23" s="24"/>
      <c r="B23" s="24"/>
      <c r="D23" s="24"/>
      <c r="E23" s="24"/>
      <c r="F23" s="24"/>
      <c r="G23" s="24"/>
      <c r="H23" s="24"/>
      <c r="I23" s="24"/>
      <c r="J23" s="24"/>
      <c r="K23" s="24"/>
      <c r="L23" s="24"/>
      <c r="M23" s="24"/>
      <c r="N23" s="24"/>
      <c r="O23" s="24"/>
      <c r="P23" s="24"/>
      <c r="Q23" s="24"/>
      <c r="R23" s="24"/>
      <c r="S23" s="24"/>
      <c r="T23" s="24"/>
      <c r="U23" s="24"/>
      <c r="V23" s="24"/>
      <c r="W23" s="24"/>
      <c r="X23" s="24"/>
      <c r="Y23" s="24"/>
      <c r="Z23" s="24"/>
      <c r="AC23" s="24"/>
      <c r="AD23" s="24"/>
      <c r="AE23" s="24"/>
      <c r="AF23" s="24"/>
      <c r="AG23" s="24"/>
      <c r="AH23" s="24"/>
      <c r="AI23" s="24"/>
    </row>
    <row r="24" spans="1:3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C24" s="24"/>
      <c r="AD24" s="24"/>
      <c r="AE24" s="24"/>
      <c r="AF24" s="24"/>
      <c r="AG24" s="24"/>
      <c r="AH24" s="24"/>
      <c r="AI24" s="24"/>
    </row>
    <row r="25" spans="1:3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C25" s="24"/>
      <c r="AD25" s="24"/>
      <c r="AE25" s="24"/>
      <c r="AF25" s="24"/>
      <c r="AG25" s="24"/>
      <c r="AH25" s="24"/>
      <c r="AI25" s="24"/>
    </row>
    <row r="26" spans="1:3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C26" s="24"/>
      <c r="AD26" s="24"/>
      <c r="AE26" s="24"/>
      <c r="AF26" s="24"/>
      <c r="AG26" s="24"/>
      <c r="AH26" s="24"/>
      <c r="AI26" s="24"/>
    </row>
    <row r="27" spans="1:3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C27" s="24"/>
      <c r="AD27" s="24"/>
      <c r="AE27" s="24"/>
      <c r="AF27" s="24"/>
      <c r="AG27" s="24"/>
      <c r="AH27" s="24"/>
      <c r="AI27" s="24"/>
    </row>
    <row r="28" spans="1:3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C28" s="24"/>
      <c r="AD28" s="24"/>
      <c r="AE28" s="24"/>
      <c r="AF28" s="24"/>
      <c r="AG28" s="24"/>
      <c r="AH28" s="24"/>
      <c r="AI28" s="24"/>
    </row>
    <row r="29" spans="1:3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C29" s="24"/>
      <c r="AD29" s="24"/>
      <c r="AE29" s="24"/>
      <c r="AF29" s="24"/>
      <c r="AG29" s="24"/>
      <c r="AH29" s="24"/>
      <c r="AI29" s="24"/>
    </row>
    <row r="30" spans="1:3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C30" s="24"/>
      <c r="AD30" s="24"/>
      <c r="AE30" s="24"/>
      <c r="AF30" s="24"/>
      <c r="AG30" s="24"/>
      <c r="AH30" s="24"/>
      <c r="AI30" s="24"/>
    </row>
    <row r="31" spans="1:3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C31" s="24"/>
      <c r="AD31" s="24"/>
      <c r="AE31" s="24"/>
      <c r="AF31" s="24"/>
      <c r="AG31" s="24"/>
      <c r="AH31" s="24"/>
      <c r="AI31" s="24"/>
    </row>
    <row r="32" spans="1:3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C32" s="24"/>
      <c r="AD32" s="24"/>
      <c r="AE32" s="24"/>
      <c r="AF32" s="24"/>
      <c r="AG32" s="24"/>
      <c r="AH32" s="24"/>
      <c r="AI32" s="24"/>
    </row>
    <row r="33" spans="1:3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C33" s="24"/>
      <c r="AD33" s="24"/>
      <c r="AE33" s="24"/>
      <c r="AF33" s="24"/>
      <c r="AG33" s="24"/>
      <c r="AH33" s="24"/>
      <c r="AI33" s="24"/>
    </row>
    <row r="34" spans="1:3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C34" s="24"/>
      <c r="AD34" s="24"/>
      <c r="AE34" s="24"/>
      <c r="AF34" s="24"/>
      <c r="AG34" s="24"/>
      <c r="AH34" s="24"/>
      <c r="AI34" s="24"/>
    </row>
    <row r="35" spans="1: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C35" s="24"/>
      <c r="AD35" s="24"/>
      <c r="AE35" s="24"/>
      <c r="AF35" s="24"/>
      <c r="AG35" s="24"/>
      <c r="AH35" s="24"/>
      <c r="AI35" s="24"/>
    </row>
    <row r="36" spans="1:3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C36" s="24"/>
      <c r="AD36" s="24"/>
      <c r="AE36" s="24"/>
      <c r="AF36" s="24"/>
      <c r="AG36" s="24"/>
      <c r="AH36" s="24"/>
      <c r="AI36" s="24"/>
    </row>
    <row r="37" spans="1:3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C37" s="46"/>
      <c r="AD37" s="24"/>
      <c r="AE37" s="24"/>
      <c r="AF37" s="24"/>
      <c r="AG37" s="24"/>
      <c r="AH37" s="24"/>
      <c r="AI37" s="24"/>
    </row>
    <row r="38" spans="1:3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C38" s="46"/>
      <c r="AD38" s="24"/>
      <c r="AE38" s="24"/>
      <c r="AF38" s="24"/>
      <c r="AG38" s="24"/>
      <c r="AH38" s="24"/>
      <c r="AI38" s="24"/>
    </row>
    <row r="39" spans="1:3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3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row>
    <row r="41" spans="1:35">
      <c r="A41" s="24"/>
      <c r="B41" s="24"/>
      <c r="C41" s="24" t="s">
        <v>127</v>
      </c>
      <c r="D41" s="24"/>
      <c r="E41" s="24"/>
      <c r="F41" s="24"/>
      <c r="G41" s="24"/>
      <c r="H41" s="24"/>
      <c r="I41" s="24"/>
      <c r="J41" s="24"/>
      <c r="K41" s="24"/>
      <c r="L41" s="24"/>
      <c r="M41" s="24"/>
      <c r="N41" s="24"/>
      <c r="O41" s="24"/>
      <c r="P41" s="24"/>
      <c r="Q41" s="24"/>
      <c r="R41" s="24"/>
      <c r="S41" s="24"/>
      <c r="T41" s="24"/>
      <c r="U41" s="24"/>
      <c r="V41" s="24"/>
      <c r="W41" s="24"/>
      <c r="X41" s="24"/>
      <c r="Y41" s="24"/>
      <c r="Z41" s="24"/>
    </row>
    <row r="42" spans="1:3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35">
      <c r="A43" s="24"/>
      <c r="B43" s="24"/>
      <c r="C43" s="24" t="s">
        <v>97</v>
      </c>
      <c r="D43" s="24" t="s">
        <v>98</v>
      </c>
      <c r="E43" s="24"/>
      <c r="F43" s="24"/>
      <c r="G43" s="24"/>
      <c r="H43" s="24"/>
      <c r="I43" s="24"/>
      <c r="J43" s="24"/>
      <c r="K43" s="24"/>
      <c r="L43" s="24"/>
      <c r="M43" s="24"/>
      <c r="N43" s="24"/>
      <c r="O43" s="24"/>
      <c r="P43" s="24"/>
      <c r="Q43" s="24"/>
      <c r="R43" s="24"/>
      <c r="S43" s="24"/>
      <c r="T43" s="24"/>
      <c r="U43" s="24"/>
      <c r="V43" s="24"/>
      <c r="W43" s="24"/>
      <c r="X43" s="24"/>
      <c r="Y43" s="24"/>
      <c r="Z43" s="24"/>
    </row>
    <row r="44" spans="1:35">
      <c r="A44" s="24"/>
      <c r="B44" s="24"/>
      <c r="C44" s="24" t="s">
        <v>99</v>
      </c>
      <c r="D44" s="24" t="s">
        <v>100</v>
      </c>
      <c r="E44" s="24"/>
      <c r="F44" s="24"/>
      <c r="G44" s="24"/>
      <c r="H44" s="24"/>
      <c r="I44" s="24"/>
      <c r="J44" s="24"/>
      <c r="K44" s="24"/>
      <c r="L44" s="24"/>
      <c r="M44" s="24"/>
      <c r="N44" s="24"/>
      <c r="O44" s="24"/>
      <c r="P44" s="24"/>
      <c r="Q44" s="24"/>
      <c r="R44" s="24"/>
      <c r="S44" s="24"/>
      <c r="T44" s="24"/>
      <c r="U44" s="24"/>
      <c r="V44" s="24"/>
      <c r="W44" s="24"/>
      <c r="X44" s="24"/>
      <c r="Y44" s="24"/>
      <c r="Z44" s="24"/>
    </row>
    <row r="45" spans="1:35">
      <c r="A45" s="24"/>
      <c r="B45" s="24"/>
      <c r="C45" s="24" t="s">
        <v>101</v>
      </c>
      <c r="D45" s="24" t="s">
        <v>102</v>
      </c>
      <c r="E45" s="24"/>
      <c r="F45" s="24"/>
      <c r="G45" s="24"/>
      <c r="H45" s="24"/>
      <c r="I45" s="24"/>
      <c r="J45" s="24"/>
      <c r="K45" s="24"/>
      <c r="L45" s="24"/>
      <c r="M45" s="24"/>
      <c r="N45" s="24"/>
      <c r="O45" s="24"/>
      <c r="P45" s="24"/>
      <c r="Q45" s="24"/>
      <c r="R45" s="24"/>
      <c r="S45" s="24"/>
      <c r="T45" s="24"/>
      <c r="U45" s="24"/>
      <c r="V45" s="24"/>
      <c r="W45" s="24"/>
      <c r="X45" s="24"/>
      <c r="Y45" s="24"/>
      <c r="Z45" s="24"/>
    </row>
    <row r="46" spans="1:35">
      <c r="A46" s="24"/>
      <c r="B46" s="24"/>
      <c r="C46" s="24" t="s">
        <v>103</v>
      </c>
      <c r="D46" s="24" t="s">
        <v>104</v>
      </c>
      <c r="E46" s="24"/>
      <c r="F46" s="24"/>
      <c r="G46" s="24"/>
      <c r="H46" s="24"/>
      <c r="I46" s="24"/>
      <c r="J46" s="24"/>
      <c r="K46" s="24"/>
      <c r="L46" s="24"/>
      <c r="M46" s="24"/>
      <c r="N46" s="24"/>
      <c r="O46" s="24"/>
      <c r="P46" s="24"/>
      <c r="Q46" s="24"/>
      <c r="R46" s="24"/>
      <c r="S46" s="24"/>
      <c r="T46" s="24"/>
      <c r="U46" s="24"/>
      <c r="V46" s="24"/>
      <c r="W46" s="24"/>
      <c r="X46" s="24"/>
      <c r="Y46" s="24"/>
      <c r="Z46" s="24"/>
    </row>
    <row r="47" spans="1:35">
      <c r="A47" s="24"/>
      <c r="B47" s="24"/>
      <c r="C47" s="24" t="s">
        <v>105</v>
      </c>
      <c r="D47" s="24" t="s">
        <v>106</v>
      </c>
      <c r="E47" s="24"/>
      <c r="F47" s="24"/>
      <c r="G47" s="24"/>
      <c r="H47" s="24"/>
      <c r="I47" s="24"/>
      <c r="J47" s="24"/>
      <c r="K47" s="24"/>
      <c r="L47" s="24"/>
      <c r="M47" s="24"/>
      <c r="N47" s="24"/>
      <c r="O47" s="24"/>
      <c r="P47" s="24"/>
      <c r="Q47" s="24"/>
      <c r="R47" s="24"/>
      <c r="S47" s="24"/>
      <c r="T47" s="24"/>
      <c r="U47" s="24"/>
      <c r="V47" s="24"/>
      <c r="W47" s="24"/>
      <c r="X47" s="24"/>
      <c r="Y47" s="24"/>
      <c r="Z47" s="24"/>
    </row>
    <row r="48" spans="1:35">
      <c r="A48" s="24"/>
      <c r="B48" s="24"/>
      <c r="C48" s="24" t="s">
        <v>107</v>
      </c>
      <c r="D48" s="24" t="s">
        <v>108</v>
      </c>
      <c r="E48" s="24"/>
      <c r="F48" s="24"/>
      <c r="G48" s="24"/>
      <c r="H48" s="24"/>
      <c r="I48" s="24"/>
      <c r="J48" s="24"/>
      <c r="K48" s="24"/>
      <c r="L48" s="24"/>
      <c r="M48" s="24"/>
      <c r="N48" s="24"/>
      <c r="O48" s="24"/>
      <c r="P48" s="24"/>
      <c r="Q48" s="24"/>
      <c r="R48" s="24"/>
      <c r="S48" s="24"/>
      <c r="T48" s="24"/>
      <c r="U48" s="24"/>
      <c r="V48" s="24"/>
      <c r="W48" s="24"/>
      <c r="X48" s="24"/>
      <c r="Y48" s="24"/>
      <c r="Z48" s="24"/>
    </row>
    <row r="49" spans="1:28">
      <c r="A49" s="24"/>
      <c r="B49" s="24"/>
      <c r="C49" s="24" t="s">
        <v>109</v>
      </c>
      <c r="D49" s="24" t="s">
        <v>110</v>
      </c>
      <c r="E49" s="24"/>
      <c r="F49" s="24"/>
      <c r="G49" s="24"/>
      <c r="H49" s="24"/>
      <c r="I49" s="24"/>
      <c r="J49" s="24"/>
      <c r="K49" s="24"/>
      <c r="L49" s="24"/>
      <c r="M49" s="24"/>
      <c r="N49" s="24"/>
      <c r="O49" s="24"/>
      <c r="P49" s="24"/>
      <c r="Q49" s="24"/>
      <c r="R49" s="24"/>
      <c r="S49" s="24"/>
      <c r="T49" s="24"/>
      <c r="U49" s="24"/>
      <c r="V49" s="24"/>
      <c r="W49" s="24"/>
      <c r="X49" s="24"/>
      <c r="Y49" s="24"/>
      <c r="Z49" s="24"/>
    </row>
    <row r="50" spans="1:28">
      <c r="A50" s="24"/>
      <c r="B50" s="24"/>
      <c r="C50" s="24" t="s">
        <v>111</v>
      </c>
      <c r="D50" s="24" t="s">
        <v>112</v>
      </c>
      <c r="E50" s="24"/>
      <c r="F50" s="24"/>
      <c r="G50" s="24"/>
      <c r="H50" s="24"/>
      <c r="I50" s="24"/>
      <c r="J50" s="24"/>
      <c r="K50" s="24"/>
      <c r="L50" s="24"/>
      <c r="M50" s="24"/>
      <c r="N50" s="24"/>
      <c r="O50" s="24"/>
      <c r="P50" s="24"/>
      <c r="Q50" s="24"/>
      <c r="R50" s="24"/>
      <c r="S50" s="24"/>
      <c r="T50" s="24"/>
      <c r="U50" s="24"/>
      <c r="V50" s="24"/>
      <c r="W50" s="24"/>
      <c r="X50" s="24"/>
      <c r="Y50" s="24"/>
      <c r="Z50" s="24"/>
    </row>
    <row r="51" spans="1:28">
      <c r="A51" s="24"/>
      <c r="B51" s="24"/>
      <c r="C51" s="24" t="s">
        <v>113</v>
      </c>
      <c r="D51" s="24" t="s">
        <v>114</v>
      </c>
      <c r="E51" s="24"/>
      <c r="F51" s="24"/>
      <c r="G51" s="24"/>
      <c r="H51" s="24"/>
      <c r="I51" s="24"/>
      <c r="J51" s="24"/>
      <c r="K51" s="24"/>
      <c r="L51" s="24"/>
      <c r="M51" s="24"/>
      <c r="N51" s="24"/>
      <c r="O51" s="24"/>
      <c r="P51" s="24"/>
      <c r="Q51" s="24"/>
      <c r="R51" s="24"/>
      <c r="S51" s="24"/>
      <c r="T51" s="24"/>
      <c r="U51" s="24"/>
      <c r="V51" s="24"/>
      <c r="W51" s="24"/>
      <c r="X51" s="24"/>
      <c r="Y51" s="24"/>
      <c r="Z51" s="24"/>
    </row>
    <row r="52" spans="1:28">
      <c r="A52" s="24"/>
      <c r="B52" s="24"/>
      <c r="C52" s="24" t="s">
        <v>115</v>
      </c>
      <c r="D52" s="24" t="s">
        <v>116</v>
      </c>
      <c r="E52" s="24"/>
      <c r="F52" s="24"/>
      <c r="G52" s="24"/>
      <c r="H52" s="24"/>
      <c r="I52" s="24"/>
      <c r="J52" s="24"/>
      <c r="K52" s="24"/>
      <c r="L52" s="24"/>
      <c r="M52" s="24"/>
      <c r="N52" s="24"/>
      <c r="O52" s="24"/>
      <c r="P52" s="24"/>
      <c r="Q52" s="24"/>
      <c r="R52" s="24"/>
      <c r="S52" s="24"/>
      <c r="T52" s="24"/>
      <c r="U52" s="24"/>
      <c r="V52" s="24"/>
      <c r="W52" s="24"/>
      <c r="X52" s="24"/>
      <c r="Y52" s="24"/>
      <c r="Z52" s="24"/>
    </row>
    <row r="53" spans="1:28">
      <c r="A53" s="24"/>
      <c r="B53" s="24"/>
      <c r="C53" s="24" t="s">
        <v>117</v>
      </c>
      <c r="D53" s="24" t="s">
        <v>118</v>
      </c>
      <c r="E53" s="24"/>
      <c r="F53" s="24"/>
      <c r="G53" s="24"/>
      <c r="H53" s="24"/>
      <c r="I53" s="24"/>
      <c r="J53" s="24"/>
      <c r="K53" s="24"/>
      <c r="L53" s="24"/>
      <c r="M53" s="24"/>
      <c r="N53" s="24"/>
      <c r="O53" s="24"/>
      <c r="P53" s="24"/>
      <c r="Q53" s="24"/>
      <c r="R53" s="24"/>
      <c r="S53" s="24"/>
      <c r="T53" s="24"/>
      <c r="U53" s="24"/>
      <c r="V53" s="24"/>
      <c r="W53" s="24"/>
      <c r="X53" s="24"/>
      <c r="Y53" s="24"/>
      <c r="Z53" s="24"/>
    </row>
    <row r="54" spans="1:28">
      <c r="A54" s="24"/>
      <c r="B54" s="24"/>
      <c r="C54" s="24" t="s">
        <v>119</v>
      </c>
      <c r="D54" s="24" t="s">
        <v>120</v>
      </c>
      <c r="E54" s="24"/>
      <c r="F54" s="24"/>
      <c r="G54" s="24"/>
      <c r="H54" s="24"/>
      <c r="I54" s="24"/>
      <c r="J54" s="24"/>
      <c r="K54" s="24"/>
      <c r="L54" s="24"/>
      <c r="M54" s="24"/>
      <c r="N54" s="24"/>
      <c r="O54" s="24"/>
      <c r="P54" s="24"/>
      <c r="Q54" s="24"/>
      <c r="R54" s="24"/>
      <c r="S54" s="24"/>
      <c r="T54" s="24"/>
      <c r="U54" s="24"/>
      <c r="V54" s="24"/>
      <c r="W54" s="24"/>
      <c r="X54" s="24"/>
      <c r="Y54" s="24"/>
      <c r="Z54" s="24"/>
    </row>
    <row r="55" spans="1:28">
      <c r="A55" s="24"/>
      <c r="B55" s="24"/>
      <c r="C55" s="24" t="s">
        <v>121</v>
      </c>
      <c r="D55" s="24" t="s">
        <v>122</v>
      </c>
      <c r="E55" s="24"/>
      <c r="F55" s="24"/>
      <c r="G55" s="24"/>
      <c r="H55" s="24"/>
      <c r="I55" s="24"/>
      <c r="J55" s="24"/>
      <c r="K55" s="24"/>
      <c r="L55" s="24"/>
      <c r="M55" s="24"/>
      <c r="N55" s="24"/>
      <c r="O55" s="24"/>
      <c r="P55" s="24"/>
      <c r="Q55" s="24"/>
      <c r="R55" s="24"/>
      <c r="S55" s="24"/>
      <c r="T55" s="24"/>
      <c r="U55" s="24"/>
      <c r="V55" s="24"/>
      <c r="W55" s="24"/>
      <c r="X55" s="24"/>
      <c r="Y55" s="24"/>
      <c r="Z55" s="24"/>
    </row>
    <row r="56" spans="1:28">
      <c r="A56" s="24"/>
      <c r="B56" s="24"/>
      <c r="C56" s="45" t="s">
        <v>123</v>
      </c>
      <c r="D56" s="45" t="s">
        <v>124</v>
      </c>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c r="A57" s="24"/>
      <c r="B57" s="24"/>
      <c r="C57" s="45" t="s">
        <v>125</v>
      </c>
      <c r="D57" s="45" t="s">
        <v>126</v>
      </c>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row>
    <row r="83" spans="1:28">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row>
    <row r="97" spans="1:28">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row>
    <row r="98" spans="1:2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row>
    <row r="114" spans="1:28">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sheetData>
  <pageMargins left="0.7" right="0.7" top="0.78740157499999996" bottom="0.78740157499999996"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1"/>
  <dimension ref="B2:J65"/>
  <sheetViews>
    <sheetView zoomScaleNormal="100" workbookViewId="0">
      <selection activeCell="T35" sqref="T35"/>
    </sheetView>
  </sheetViews>
  <sheetFormatPr baseColWidth="10" defaultRowHeight="12.75"/>
  <cols>
    <col min="2" max="2" width="33.140625" style="56" customWidth="1"/>
    <col min="3" max="3" width="11.28515625" customWidth="1"/>
  </cols>
  <sheetData>
    <row r="2" spans="2:10">
      <c r="B2" s="369" t="s">
        <v>2456</v>
      </c>
      <c r="J2" t="s">
        <v>2481</v>
      </c>
    </row>
    <row r="6" spans="2:10">
      <c r="B6" s="496" t="s">
        <v>2457</v>
      </c>
    </row>
    <row r="8" spans="2:10">
      <c r="B8" s="56" t="s">
        <v>2363</v>
      </c>
      <c r="C8" s="840">
        <v>1</v>
      </c>
    </row>
    <row r="9" spans="2:10">
      <c r="B9" s="56" t="s">
        <v>2458</v>
      </c>
      <c r="C9" s="840">
        <v>1.5</v>
      </c>
    </row>
    <row r="10" spans="2:10">
      <c r="B10" s="56" t="s">
        <v>2459</v>
      </c>
      <c r="C10" s="840">
        <v>0.3</v>
      </c>
      <c r="D10" t="s">
        <v>68</v>
      </c>
      <c r="E10" t="s">
        <v>2460</v>
      </c>
    </row>
    <row r="11" spans="2:10">
      <c r="B11" s="56" t="s">
        <v>2461</v>
      </c>
      <c r="C11" s="840">
        <v>-0.3</v>
      </c>
      <c r="D11" t="s">
        <v>68</v>
      </c>
      <c r="E11" t="s">
        <v>2462</v>
      </c>
    </row>
    <row r="13" spans="2:10">
      <c r="B13" s="56" t="s">
        <v>2459</v>
      </c>
      <c r="C13">
        <f>C10*100</f>
        <v>30</v>
      </c>
      <c r="D13" t="s">
        <v>212</v>
      </c>
    </row>
    <row r="14" spans="2:10">
      <c r="B14" s="56" t="s">
        <v>2461</v>
      </c>
      <c r="C14">
        <f>C11*100</f>
        <v>-30</v>
      </c>
      <c r="D14" t="s">
        <v>212</v>
      </c>
    </row>
    <row r="16" spans="2:10">
      <c r="B16" s="56" t="s">
        <v>2463</v>
      </c>
      <c r="C16" s="59">
        <f>((C9-C8)/C8)*((1/C10)-(1/C11))</f>
        <v>3.3333333333333335</v>
      </c>
      <c r="E16" t="s">
        <v>2464</v>
      </c>
    </row>
    <row r="17" spans="2:5">
      <c r="B17" s="56" t="s">
        <v>1588</v>
      </c>
      <c r="C17" s="59">
        <f>1/C16</f>
        <v>0.3</v>
      </c>
      <c r="D17" t="s">
        <v>68</v>
      </c>
    </row>
    <row r="18" spans="2:5">
      <c r="C18" s="59">
        <f>C17*100</f>
        <v>30</v>
      </c>
      <c r="D18" t="s">
        <v>212</v>
      </c>
    </row>
    <row r="19" spans="2:5">
      <c r="C19" s="59">
        <f>C18*10</f>
        <v>300</v>
      </c>
      <c r="D19" t="s">
        <v>344</v>
      </c>
    </row>
    <row r="23" spans="2:5">
      <c r="B23" s="496" t="s">
        <v>2465</v>
      </c>
    </row>
    <row r="25" spans="2:5">
      <c r="B25" s="56" t="s">
        <v>2363</v>
      </c>
      <c r="C25" s="840">
        <v>1</v>
      </c>
    </row>
    <row r="26" spans="2:5">
      <c r="B26" s="56" t="s">
        <v>2458</v>
      </c>
      <c r="C26" s="840">
        <v>1.5</v>
      </c>
    </row>
    <row r="27" spans="2:5">
      <c r="B27" s="56" t="s">
        <v>2459</v>
      </c>
      <c r="C27" s="840">
        <v>0.3</v>
      </c>
      <c r="D27" t="s">
        <v>68</v>
      </c>
      <c r="E27" t="s">
        <v>2460</v>
      </c>
    </row>
    <row r="28" spans="2:5">
      <c r="B28" s="56" t="s">
        <v>2461</v>
      </c>
      <c r="C28" s="840">
        <v>-0.3</v>
      </c>
      <c r="D28" t="s">
        <v>68</v>
      </c>
      <c r="E28" t="s">
        <v>2462</v>
      </c>
    </row>
    <row r="29" spans="2:5">
      <c r="B29" s="254" t="s">
        <v>2466</v>
      </c>
      <c r="C29" s="840">
        <v>4.0000000000000001E-3</v>
      </c>
      <c r="D29" s="315" t="s">
        <v>68</v>
      </c>
    </row>
    <row r="30" spans="2:5">
      <c r="B30" s="254"/>
      <c r="C30" s="254"/>
      <c r="D30" s="254"/>
    </row>
    <row r="31" spans="2:5">
      <c r="B31" s="56" t="s">
        <v>2459</v>
      </c>
      <c r="C31">
        <f>C27*100</f>
        <v>30</v>
      </c>
      <c r="D31" t="s">
        <v>212</v>
      </c>
    </row>
    <row r="32" spans="2:5">
      <c r="B32" s="56" t="s">
        <v>2461</v>
      </c>
      <c r="C32">
        <f>C28*100</f>
        <v>-30</v>
      </c>
      <c r="D32" t="s">
        <v>212</v>
      </c>
    </row>
    <row r="33" spans="2:5">
      <c r="B33" s="254" t="s">
        <v>2466</v>
      </c>
      <c r="C33">
        <f>C29*100</f>
        <v>0.4</v>
      </c>
      <c r="D33" s="315" t="s">
        <v>212</v>
      </c>
    </row>
    <row r="34" spans="2:5">
      <c r="B34" s="254"/>
    </row>
    <row r="35" spans="2:5">
      <c r="B35" s="56" t="s">
        <v>2463</v>
      </c>
      <c r="C35" s="59">
        <f>((C26-C25)/C25)*((1/C27)-(1/C28))+(C29*(C26-C25)^2)/(C27*C28*C26*C25)</f>
        <v>3.325925925925926</v>
      </c>
      <c r="E35" t="s">
        <v>2464</v>
      </c>
    </row>
    <row r="36" spans="2:5">
      <c r="B36" s="56" t="s">
        <v>1588</v>
      </c>
      <c r="C36" s="59">
        <f>1/C35</f>
        <v>0.30066815144766146</v>
      </c>
      <c r="D36" t="s">
        <v>68</v>
      </c>
    </row>
    <row r="37" spans="2:5">
      <c r="C37" s="59">
        <f>C36*100</f>
        <v>30.066815144766146</v>
      </c>
      <c r="D37" t="s">
        <v>212</v>
      </c>
    </row>
    <row r="38" spans="2:5">
      <c r="C38" s="59">
        <f>C37*10</f>
        <v>300.66815144766144</v>
      </c>
      <c r="D38" t="s">
        <v>344</v>
      </c>
    </row>
    <row r="42" spans="2:5" ht="13.5" customHeight="1">
      <c r="B42" s="369" t="s">
        <v>2467</v>
      </c>
    </row>
    <row r="44" spans="2:5">
      <c r="B44" s="496" t="s">
        <v>2468</v>
      </c>
    </row>
    <row r="46" spans="2:5">
      <c r="B46" s="254" t="s">
        <v>2469</v>
      </c>
      <c r="C46" s="840">
        <v>100</v>
      </c>
      <c r="D46" s="315" t="s">
        <v>344</v>
      </c>
      <c r="E46" s="315" t="s">
        <v>2470</v>
      </c>
    </row>
    <row r="47" spans="2:5">
      <c r="B47" s="254" t="s">
        <v>2471</v>
      </c>
      <c r="C47" s="840">
        <v>150</v>
      </c>
      <c r="D47" s="315" t="s">
        <v>344</v>
      </c>
      <c r="E47" s="315" t="s">
        <v>2472</v>
      </c>
    </row>
    <row r="49" spans="2:5">
      <c r="B49" s="254" t="s">
        <v>2473</v>
      </c>
      <c r="C49">
        <f>1/C46+1/C47</f>
        <v>1.6666666666666666E-2</v>
      </c>
      <c r="E49" s="315"/>
    </row>
    <row r="51" spans="2:5">
      <c r="B51" s="254" t="s">
        <v>2474</v>
      </c>
      <c r="C51">
        <f>1/C49</f>
        <v>60</v>
      </c>
      <c r="D51" s="315" t="s">
        <v>344</v>
      </c>
    </row>
    <row r="52" spans="2:5">
      <c r="B52" s="254"/>
      <c r="D52" s="315"/>
    </row>
    <row r="54" spans="2:5">
      <c r="B54" s="254" t="s">
        <v>2475</v>
      </c>
    </row>
    <row r="56" spans="2:5">
      <c r="B56" s="254" t="s">
        <v>2469</v>
      </c>
      <c r="C56" s="840">
        <v>200</v>
      </c>
      <c r="D56" s="315" t="s">
        <v>344</v>
      </c>
      <c r="E56" s="315" t="s">
        <v>2470</v>
      </c>
    </row>
    <row r="57" spans="2:5">
      <c r="B57" s="254" t="s">
        <v>2471</v>
      </c>
      <c r="C57" s="840">
        <v>-300</v>
      </c>
      <c r="D57" s="315" t="s">
        <v>344</v>
      </c>
      <c r="E57" s="315" t="s">
        <v>2472</v>
      </c>
    </row>
    <row r="58" spans="2:5">
      <c r="B58" s="254" t="s">
        <v>2476</v>
      </c>
      <c r="C58" s="840">
        <v>300</v>
      </c>
      <c r="D58" s="315" t="s">
        <v>344</v>
      </c>
    </row>
    <row r="59" spans="2:5">
      <c r="B59" s="254" t="s">
        <v>2477</v>
      </c>
      <c r="C59" s="840">
        <v>200</v>
      </c>
      <c r="D59" s="315" t="s">
        <v>344</v>
      </c>
    </row>
    <row r="60" spans="2:5">
      <c r="B60" s="254" t="s">
        <v>2478</v>
      </c>
      <c r="C60" s="840"/>
      <c r="D60" s="315" t="s">
        <v>344</v>
      </c>
    </row>
    <row r="61" spans="2:5">
      <c r="B61" s="254" t="s">
        <v>2479</v>
      </c>
      <c r="C61" s="840"/>
      <c r="D61" s="315" t="s">
        <v>344</v>
      </c>
    </row>
    <row r="63" spans="2:5">
      <c r="B63" s="254" t="s">
        <v>2473</v>
      </c>
      <c r="C63" s="59">
        <f>IF(COUNT(C56:C61)=2,1/C56+1/C57,IF(COUNT(C56:C61)=3,1/C56+1/C57+1/C58,IF(COUNT(C56:C61)=4,1/C56+1/C57+1/C58+1/C59,IF(COUNT(C56:C61)=5,1/C56+1/C57+1/C58+1/C59+1/C60,IF(COUNT(C56:C61)=6,1/C56+1/C57+1/C58+1/C59+1/C60+1/C61,"kein Ergebnis")))))</f>
        <v>0.01</v>
      </c>
      <c r="E63" s="315" t="s">
        <v>2480</v>
      </c>
    </row>
    <row r="65" spans="2:4">
      <c r="B65" s="254" t="s">
        <v>2474</v>
      </c>
      <c r="C65">
        <f>1/C63</f>
        <v>100</v>
      </c>
      <c r="D65" s="315" t="s">
        <v>344</v>
      </c>
    </row>
  </sheetData>
  <pageMargins left="0.7" right="0.7" top="0.78740157499999996" bottom="0.78740157499999996" header="0.3" footer="0.3"/>
  <pageSetup paperSize="9" orientation="portrait"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W91"/>
  <sheetViews>
    <sheetView workbookViewId="0">
      <selection activeCell="S4" sqref="S4"/>
    </sheetView>
  </sheetViews>
  <sheetFormatPr baseColWidth="10" defaultColWidth="11.42578125" defaultRowHeight="12.75"/>
  <cols>
    <col min="1" max="1" width="17.28515625" style="318" customWidth="1"/>
    <col min="2" max="2" width="11.42578125" style="318"/>
    <col min="3" max="3" width="13.7109375" style="318" customWidth="1"/>
    <col min="4" max="4" width="16.7109375" style="318" customWidth="1"/>
    <col min="5" max="5" width="11" style="318" customWidth="1"/>
    <col min="6" max="6" width="6.42578125" style="318" customWidth="1"/>
    <col min="7" max="7" width="8.5703125" style="318" customWidth="1"/>
    <col min="8" max="8" width="10.42578125" style="318" customWidth="1"/>
    <col min="9" max="9" width="11.42578125" style="318"/>
    <col min="10" max="11" width="4.140625" style="318" customWidth="1"/>
    <col min="12" max="12" width="7.7109375" style="318" customWidth="1"/>
    <col min="13" max="13" width="16.140625" style="318" customWidth="1"/>
    <col min="14" max="14" width="4" style="318" customWidth="1"/>
    <col min="15" max="15" width="5.28515625" style="318" customWidth="1"/>
    <col min="16" max="16" width="7.140625" style="318" customWidth="1"/>
    <col min="17" max="17" width="14.5703125" style="318" customWidth="1"/>
    <col min="18" max="16384" width="11.42578125" style="318"/>
  </cols>
  <sheetData>
    <row r="1" spans="1:23">
      <c r="A1" s="346"/>
      <c r="B1" s="346"/>
      <c r="C1" s="346"/>
      <c r="D1" s="346"/>
      <c r="E1" s="346"/>
      <c r="F1" s="346"/>
      <c r="G1" s="346"/>
      <c r="H1" s="346"/>
      <c r="I1" s="346"/>
      <c r="J1" s="346"/>
      <c r="K1" s="346"/>
      <c r="L1" s="346"/>
      <c r="M1" s="346"/>
      <c r="N1" s="346"/>
      <c r="O1" s="346"/>
      <c r="P1" s="346"/>
      <c r="Q1" s="346"/>
      <c r="R1" s="346"/>
      <c r="S1" s="346"/>
      <c r="T1" s="346"/>
      <c r="U1" s="346"/>
      <c r="V1" s="346"/>
      <c r="W1" s="346"/>
    </row>
    <row r="2" spans="1:23">
      <c r="A2" s="346"/>
      <c r="B2" s="346"/>
      <c r="C2" s="346"/>
      <c r="D2" s="346"/>
      <c r="E2" s="346"/>
      <c r="F2" s="346"/>
      <c r="G2" s="346"/>
      <c r="H2" s="346"/>
      <c r="I2" s="346"/>
      <c r="J2" s="346"/>
      <c r="K2" s="346"/>
      <c r="L2" s="346"/>
      <c r="M2" s="346"/>
      <c r="N2" s="346"/>
      <c r="O2" s="346"/>
      <c r="P2" s="346"/>
      <c r="Q2" s="346"/>
      <c r="R2" s="346"/>
      <c r="S2" s="346"/>
      <c r="T2" s="346"/>
      <c r="U2" s="346"/>
      <c r="V2" s="346"/>
      <c r="W2" s="346"/>
    </row>
    <row r="3" spans="1:23">
      <c r="B3" s="598" t="s">
        <v>4499</v>
      </c>
      <c r="C3" s="346"/>
      <c r="D3" s="346"/>
      <c r="E3" s="346"/>
      <c r="F3" s="346"/>
      <c r="G3" s="346"/>
      <c r="H3" s="346"/>
      <c r="I3" s="346"/>
      <c r="J3" s="346"/>
      <c r="K3" s="346"/>
      <c r="L3" s="346"/>
      <c r="M3" s="346"/>
      <c r="N3" s="346"/>
      <c r="O3" s="346"/>
      <c r="P3" s="346"/>
      <c r="Q3" s="346"/>
      <c r="R3" s="346"/>
      <c r="S3" s="346"/>
      <c r="T3" s="346"/>
      <c r="U3" s="346"/>
      <c r="V3" s="346"/>
      <c r="W3" s="346"/>
    </row>
    <row r="4" spans="1:23" ht="341.25" customHeight="1">
      <c r="A4" s="346"/>
      <c r="B4" s="346"/>
      <c r="C4" s="346"/>
      <c r="D4" s="346"/>
      <c r="E4" s="346"/>
      <c r="F4" s="346"/>
      <c r="G4" s="346"/>
      <c r="H4" s="346"/>
      <c r="I4" s="346"/>
      <c r="J4" s="346"/>
      <c r="K4" s="346"/>
      <c r="L4" s="346"/>
      <c r="M4" s="346"/>
      <c r="N4" s="346"/>
      <c r="O4" s="346"/>
      <c r="P4" s="346"/>
      <c r="Q4" s="346"/>
      <c r="R4" s="346"/>
      <c r="S4" s="346"/>
      <c r="T4" s="346"/>
      <c r="U4" s="346"/>
      <c r="V4" s="346"/>
      <c r="W4" s="346"/>
    </row>
    <row r="5" spans="1:23">
      <c r="A5" s="346"/>
      <c r="B5" s="346"/>
      <c r="C5" s="346"/>
      <c r="D5" s="346"/>
      <c r="E5" s="346"/>
      <c r="F5" s="346"/>
      <c r="G5" s="346"/>
      <c r="H5" s="346"/>
      <c r="I5" s="346"/>
      <c r="J5" s="346"/>
      <c r="K5" s="346"/>
      <c r="L5" s="346"/>
      <c r="M5" s="346"/>
      <c r="N5" s="346"/>
      <c r="O5" s="346"/>
      <c r="P5" s="346"/>
      <c r="Q5" s="346"/>
      <c r="R5" s="346"/>
      <c r="S5" s="346"/>
      <c r="T5" s="346"/>
      <c r="U5" s="346"/>
      <c r="V5" s="346"/>
      <c r="W5" s="346"/>
    </row>
    <row r="6" spans="1:23">
      <c r="A6" s="346"/>
      <c r="B6" s="346"/>
      <c r="C6" s="346"/>
      <c r="D6" s="346"/>
      <c r="E6" s="346"/>
      <c r="F6" s="346"/>
      <c r="G6" s="346"/>
      <c r="H6" s="346"/>
      <c r="I6" s="346"/>
      <c r="J6" s="346"/>
      <c r="K6" s="346"/>
      <c r="L6" s="346"/>
      <c r="M6" s="346"/>
      <c r="N6" s="346"/>
      <c r="O6" s="346"/>
      <c r="P6" s="346"/>
      <c r="Q6" s="346"/>
      <c r="R6" s="346"/>
      <c r="S6" s="346"/>
      <c r="T6" s="346"/>
      <c r="U6" s="346"/>
      <c r="V6" s="346"/>
      <c r="W6" s="346"/>
    </row>
    <row r="7" spans="1:23">
      <c r="A7" s="346"/>
      <c r="B7" s="346"/>
      <c r="C7" s="346"/>
      <c r="D7" s="346"/>
      <c r="E7" s="346"/>
      <c r="F7" s="346"/>
      <c r="G7" s="346"/>
      <c r="H7" s="346"/>
      <c r="I7" s="346"/>
      <c r="J7" s="346"/>
      <c r="K7" s="346"/>
      <c r="L7" s="346"/>
      <c r="M7" s="346"/>
      <c r="N7" s="346"/>
      <c r="O7" s="346"/>
      <c r="P7" s="346"/>
      <c r="Q7" s="346"/>
      <c r="R7" s="346"/>
      <c r="S7" s="346"/>
      <c r="T7" s="346"/>
      <c r="U7" s="346"/>
      <c r="V7" s="346"/>
      <c r="W7" s="346"/>
    </row>
    <row r="8" spans="1:23">
      <c r="A8" s="346"/>
      <c r="B8" s="346"/>
      <c r="C8" s="346"/>
      <c r="D8" s="346"/>
      <c r="E8" s="346"/>
      <c r="F8" s="346"/>
      <c r="G8" s="346"/>
      <c r="H8" s="346"/>
      <c r="I8" s="346"/>
      <c r="J8" s="346"/>
      <c r="K8" s="346"/>
      <c r="L8" s="346"/>
      <c r="M8" s="346"/>
      <c r="N8" s="346"/>
      <c r="O8" s="346"/>
      <c r="P8" s="346"/>
      <c r="Q8" s="346"/>
      <c r="R8" s="346"/>
      <c r="S8" s="346"/>
      <c r="T8" s="346"/>
      <c r="U8" s="346"/>
      <c r="V8" s="346"/>
      <c r="W8" s="346"/>
    </row>
    <row r="9" spans="1:23">
      <c r="A9" s="346"/>
      <c r="B9" s="346"/>
      <c r="C9" s="346"/>
      <c r="D9" s="346"/>
      <c r="E9" s="346"/>
      <c r="F9" s="346"/>
      <c r="G9" s="346"/>
      <c r="H9" s="346"/>
      <c r="I9" s="346"/>
      <c r="J9" s="346"/>
      <c r="K9" s="346"/>
      <c r="L9" s="346"/>
      <c r="M9" s="346"/>
      <c r="N9" s="346"/>
      <c r="O9" s="346"/>
      <c r="P9" s="346"/>
      <c r="Q9" s="346"/>
      <c r="R9" s="346"/>
      <c r="S9" s="346"/>
      <c r="T9" s="346"/>
      <c r="U9" s="346"/>
      <c r="V9" s="346"/>
      <c r="W9" s="346"/>
    </row>
    <row r="10" spans="1:23">
      <c r="A10" s="346"/>
      <c r="B10" s="346"/>
      <c r="C10" s="346"/>
      <c r="D10" s="346"/>
      <c r="E10" s="346"/>
      <c r="F10" s="346"/>
      <c r="G10" s="346"/>
      <c r="H10" s="346"/>
      <c r="I10" s="346"/>
      <c r="J10" s="346"/>
      <c r="K10" s="346"/>
      <c r="L10" s="346"/>
      <c r="M10" s="346"/>
      <c r="N10" s="346"/>
      <c r="O10" s="346"/>
      <c r="P10" s="346"/>
      <c r="Q10" s="346"/>
      <c r="R10" s="346"/>
      <c r="S10" s="346"/>
      <c r="T10" s="346"/>
      <c r="U10" s="346"/>
      <c r="V10" s="346"/>
      <c r="W10" s="346"/>
    </row>
    <row r="11" spans="1:23">
      <c r="A11" s="346"/>
      <c r="B11" s="346"/>
      <c r="C11" s="346"/>
      <c r="D11" s="346"/>
      <c r="E11" s="346"/>
      <c r="F11" s="346"/>
      <c r="G11" s="346"/>
      <c r="H11" s="346"/>
      <c r="I11" s="346"/>
      <c r="J11" s="346"/>
      <c r="K11" s="346"/>
      <c r="L11" s="346"/>
      <c r="M11" s="346"/>
      <c r="N11" s="346"/>
      <c r="O11" s="346"/>
      <c r="P11" s="346"/>
      <c r="Q11" s="346"/>
      <c r="R11" s="346"/>
      <c r="S11" s="346"/>
      <c r="T11" s="346"/>
      <c r="U11" s="346"/>
      <c r="V11" s="346"/>
      <c r="W11" s="346"/>
    </row>
    <row r="12" spans="1:23">
      <c r="A12" s="346"/>
      <c r="B12" s="346"/>
      <c r="C12" s="346"/>
      <c r="D12" s="346"/>
      <c r="E12" s="346"/>
      <c r="F12" s="346"/>
      <c r="G12" s="346"/>
      <c r="H12" s="346"/>
      <c r="I12" s="346"/>
      <c r="J12" s="346"/>
      <c r="K12" s="346"/>
      <c r="L12" s="346"/>
      <c r="M12" s="346"/>
      <c r="N12" s="346"/>
      <c r="O12" s="346"/>
      <c r="P12" s="346"/>
      <c r="Q12" s="346"/>
      <c r="R12" s="346"/>
      <c r="S12" s="346"/>
      <c r="T12" s="346"/>
      <c r="U12" s="346"/>
      <c r="V12" s="346"/>
      <c r="W12" s="346"/>
    </row>
    <row r="13" spans="1:23">
      <c r="A13" s="346"/>
      <c r="B13" s="346"/>
      <c r="C13" s="346"/>
      <c r="D13" s="346"/>
      <c r="E13" s="346"/>
      <c r="F13" s="346"/>
      <c r="G13" s="346"/>
      <c r="H13" s="346"/>
      <c r="I13" s="346"/>
      <c r="J13" s="346"/>
      <c r="K13" s="346"/>
      <c r="L13" s="346"/>
      <c r="M13" s="346"/>
      <c r="N13" s="346"/>
      <c r="O13" s="346"/>
      <c r="P13" s="346"/>
      <c r="Q13" s="346"/>
      <c r="R13" s="346"/>
      <c r="S13" s="346"/>
      <c r="T13" s="346"/>
      <c r="U13" s="346"/>
      <c r="V13" s="346"/>
      <c r="W13" s="346"/>
    </row>
    <row r="14" spans="1:23">
      <c r="A14" s="346"/>
      <c r="B14" s="346"/>
      <c r="C14" s="346"/>
      <c r="D14" s="346"/>
      <c r="E14" s="346"/>
      <c r="F14" s="346"/>
      <c r="G14" s="346"/>
      <c r="H14" s="346"/>
      <c r="I14" s="346"/>
      <c r="J14" s="346"/>
      <c r="K14" s="346"/>
      <c r="L14" s="346"/>
      <c r="M14" s="346"/>
      <c r="N14" s="346"/>
      <c r="O14" s="346"/>
      <c r="P14" s="346"/>
      <c r="Q14" s="346"/>
      <c r="R14" s="346"/>
      <c r="S14" s="346"/>
      <c r="T14" s="346"/>
      <c r="U14" s="346"/>
      <c r="V14" s="346"/>
      <c r="W14" s="346"/>
    </row>
    <row r="15" spans="1:23">
      <c r="A15" s="346"/>
      <c r="B15" s="346"/>
      <c r="C15" s="346"/>
      <c r="D15" s="346"/>
      <c r="E15" s="346"/>
      <c r="F15" s="346"/>
      <c r="G15" s="346"/>
      <c r="H15" s="346"/>
      <c r="I15" s="346"/>
      <c r="J15" s="346"/>
      <c r="K15" s="346"/>
      <c r="L15" s="346"/>
      <c r="M15" s="346"/>
      <c r="N15" s="346"/>
      <c r="O15" s="346"/>
      <c r="P15" s="346"/>
      <c r="Q15" s="346"/>
      <c r="R15" s="346"/>
      <c r="S15" s="346"/>
      <c r="T15" s="346"/>
      <c r="U15" s="346"/>
      <c r="V15" s="346"/>
      <c r="W15" s="346"/>
    </row>
    <row r="16" spans="1:23">
      <c r="A16" s="346"/>
      <c r="B16" s="346"/>
      <c r="C16" s="346"/>
      <c r="D16" s="346"/>
      <c r="E16" s="346"/>
      <c r="F16" s="346"/>
      <c r="G16" s="346"/>
      <c r="H16" s="346"/>
      <c r="I16" s="346"/>
      <c r="J16" s="346"/>
      <c r="K16" s="346"/>
      <c r="L16" s="346"/>
      <c r="M16" s="346"/>
      <c r="N16" s="346"/>
      <c r="O16" s="346"/>
      <c r="P16" s="346"/>
      <c r="Q16" s="346"/>
      <c r="R16" s="346"/>
      <c r="S16" s="346"/>
      <c r="T16" s="346"/>
      <c r="U16" s="346"/>
      <c r="V16" s="346"/>
      <c r="W16" s="346"/>
    </row>
    <row r="17" spans="1:23">
      <c r="A17" s="346"/>
      <c r="B17" s="346"/>
      <c r="C17" s="346"/>
      <c r="D17" s="346"/>
      <c r="E17" s="346"/>
      <c r="F17" s="346"/>
      <c r="G17" s="346"/>
      <c r="H17" s="346"/>
      <c r="I17" s="346"/>
      <c r="J17" s="346"/>
      <c r="K17" s="346"/>
      <c r="L17" s="346"/>
      <c r="M17" s="346"/>
      <c r="N17" s="346"/>
      <c r="O17" s="346"/>
      <c r="P17" s="346"/>
      <c r="Q17" s="346"/>
      <c r="R17" s="346"/>
      <c r="S17" s="346"/>
      <c r="T17" s="346"/>
      <c r="U17" s="346"/>
      <c r="V17" s="346"/>
      <c r="W17" s="346"/>
    </row>
    <row r="18" spans="1:23">
      <c r="A18" s="346"/>
      <c r="B18" s="346"/>
      <c r="C18" s="346"/>
      <c r="D18" s="346"/>
      <c r="E18" s="346"/>
      <c r="F18" s="346"/>
      <c r="G18" s="346"/>
      <c r="H18" s="346"/>
      <c r="I18" s="346"/>
      <c r="J18" s="346"/>
      <c r="K18" s="346"/>
      <c r="L18" s="346"/>
      <c r="M18" s="346"/>
      <c r="N18" s="346"/>
      <c r="O18" s="346"/>
      <c r="P18" s="346"/>
      <c r="Q18" s="346"/>
      <c r="R18" s="346"/>
      <c r="S18" s="346"/>
      <c r="T18" s="346"/>
      <c r="U18" s="346"/>
      <c r="V18" s="346"/>
      <c r="W18" s="346"/>
    </row>
    <row r="19" spans="1:23">
      <c r="A19" s="346"/>
      <c r="B19" s="346"/>
      <c r="C19" s="346"/>
      <c r="D19" s="346"/>
      <c r="E19" s="346"/>
      <c r="F19" s="346"/>
      <c r="G19" s="346"/>
      <c r="H19" s="346"/>
      <c r="I19" s="346"/>
      <c r="J19" s="346"/>
      <c r="K19" s="346"/>
      <c r="L19" s="346"/>
      <c r="M19" s="346"/>
      <c r="N19" s="346"/>
      <c r="O19" s="346"/>
      <c r="P19" s="346"/>
      <c r="Q19" s="346"/>
      <c r="R19" s="346"/>
      <c r="S19" s="346"/>
      <c r="T19" s="346"/>
      <c r="U19" s="346"/>
      <c r="V19" s="346"/>
      <c r="W19" s="346"/>
    </row>
    <row r="20" spans="1:23">
      <c r="A20" s="346"/>
      <c r="B20" s="346"/>
      <c r="C20" s="346"/>
      <c r="D20" s="346"/>
      <c r="E20" s="346"/>
      <c r="F20" s="346"/>
      <c r="G20" s="346"/>
      <c r="H20" s="346"/>
      <c r="I20" s="346"/>
      <c r="J20" s="346"/>
      <c r="K20" s="346"/>
      <c r="L20" s="346"/>
      <c r="M20" s="346"/>
      <c r="N20" s="346"/>
      <c r="O20" s="346"/>
      <c r="P20" s="346"/>
      <c r="Q20" s="346"/>
      <c r="R20" s="346"/>
      <c r="S20" s="346"/>
      <c r="T20" s="346"/>
      <c r="U20" s="346"/>
      <c r="V20" s="346"/>
      <c r="W20" s="346"/>
    </row>
    <row r="21" spans="1:23">
      <c r="A21" s="346"/>
      <c r="B21" s="346"/>
      <c r="C21" s="346"/>
      <c r="D21" s="346"/>
      <c r="E21" s="346"/>
      <c r="F21" s="346"/>
      <c r="G21" s="346"/>
      <c r="H21" s="346"/>
      <c r="I21" s="346"/>
      <c r="J21" s="346"/>
      <c r="K21" s="346"/>
      <c r="L21" s="346"/>
      <c r="M21" s="346"/>
      <c r="N21" s="346"/>
      <c r="O21" s="346"/>
      <c r="P21" s="346"/>
      <c r="Q21" s="346"/>
      <c r="R21" s="346"/>
      <c r="S21" s="346"/>
      <c r="T21" s="346"/>
      <c r="U21" s="346"/>
      <c r="V21" s="346"/>
      <c r="W21" s="346"/>
    </row>
    <row r="22" spans="1:23">
      <c r="A22" s="346"/>
      <c r="B22" s="346"/>
      <c r="C22" s="346"/>
      <c r="D22" s="346"/>
      <c r="E22" s="346"/>
      <c r="F22" s="346"/>
      <c r="G22" s="346"/>
      <c r="H22" s="346"/>
      <c r="I22" s="346"/>
      <c r="J22" s="346"/>
      <c r="K22" s="346"/>
      <c r="L22" s="346"/>
      <c r="M22" s="346"/>
      <c r="N22" s="346"/>
      <c r="O22" s="346"/>
      <c r="P22" s="346"/>
      <c r="Q22" s="346"/>
      <c r="R22" s="346"/>
      <c r="S22" s="346"/>
      <c r="T22" s="346"/>
      <c r="U22" s="346"/>
      <c r="V22" s="346"/>
      <c r="W22" s="346"/>
    </row>
    <row r="23" spans="1:23">
      <c r="A23" s="841" t="s">
        <v>2482</v>
      </c>
      <c r="B23" s="346"/>
      <c r="C23" s="346"/>
      <c r="D23" s="346"/>
      <c r="E23" s="346"/>
      <c r="F23" s="346"/>
      <c r="G23" s="346"/>
      <c r="H23" s="346"/>
      <c r="I23" s="346"/>
      <c r="J23" s="346"/>
      <c r="K23" s="346"/>
      <c r="L23" s="346"/>
      <c r="M23" s="346"/>
      <c r="N23" s="346"/>
      <c r="O23" s="346"/>
      <c r="P23" s="346"/>
      <c r="Q23" s="346"/>
      <c r="R23" s="346"/>
      <c r="S23" s="346"/>
      <c r="T23" s="346"/>
      <c r="U23" s="346"/>
      <c r="V23" s="346"/>
      <c r="W23" s="346"/>
    </row>
    <row r="24" spans="1:23">
      <c r="A24" s="346"/>
      <c r="B24" s="346"/>
      <c r="C24" s="346"/>
      <c r="D24" s="346"/>
      <c r="E24" s="346"/>
      <c r="F24" s="346"/>
      <c r="G24" s="346"/>
      <c r="H24" s="346"/>
      <c r="I24" s="346"/>
      <c r="J24" s="346"/>
      <c r="K24" s="346"/>
      <c r="L24" s="346"/>
      <c r="M24" s="346"/>
      <c r="N24" s="346"/>
      <c r="O24" s="346"/>
      <c r="P24" s="346"/>
      <c r="Q24" s="346"/>
      <c r="R24" s="346"/>
      <c r="S24" s="346"/>
      <c r="T24" s="346"/>
      <c r="U24" s="346"/>
      <c r="V24" s="346"/>
      <c r="W24" s="346"/>
    </row>
    <row r="25" spans="1:23">
      <c r="A25" s="345" t="s">
        <v>2483</v>
      </c>
      <c r="B25" s="62"/>
      <c r="C25" s="346"/>
      <c r="D25" s="346"/>
      <c r="E25" s="346"/>
      <c r="F25" s="346"/>
      <c r="G25" s="346"/>
      <c r="H25" s="346"/>
      <c r="I25" s="346"/>
      <c r="J25" s="346"/>
      <c r="K25" s="346"/>
      <c r="L25" s="346"/>
      <c r="M25" s="346"/>
      <c r="N25" s="346"/>
      <c r="O25" s="346"/>
      <c r="P25" s="346"/>
      <c r="Q25" s="346"/>
      <c r="R25" s="346"/>
      <c r="S25" s="346"/>
      <c r="T25" s="346"/>
      <c r="U25" s="346"/>
      <c r="V25" s="346"/>
      <c r="W25" s="346"/>
    </row>
    <row r="27" spans="1:23">
      <c r="A27" s="842" t="s">
        <v>2484</v>
      </c>
      <c r="B27" s="843"/>
      <c r="C27" s="843" t="s">
        <v>2484</v>
      </c>
      <c r="D27" s="843"/>
      <c r="E27" s="844"/>
      <c r="F27" s="845"/>
      <c r="G27" s="844"/>
      <c r="H27" s="845"/>
      <c r="I27" s="845" t="s">
        <v>2485</v>
      </c>
      <c r="J27" s="1649" t="s">
        <v>2486</v>
      </c>
      <c r="K27" s="1650"/>
      <c r="L27" s="1651"/>
      <c r="M27" s="846"/>
      <c r="N27" s="1649" t="s">
        <v>2486</v>
      </c>
      <c r="O27" s="1650"/>
      <c r="P27" s="1651"/>
      <c r="Q27" s="847" t="s">
        <v>2486</v>
      </c>
    </row>
    <row r="28" spans="1:23">
      <c r="A28" s="25" t="s">
        <v>2487</v>
      </c>
      <c r="B28" s="25" t="s">
        <v>1773</v>
      </c>
      <c r="C28" s="25" t="s">
        <v>2488</v>
      </c>
      <c r="D28" s="848" t="s">
        <v>2489</v>
      </c>
      <c r="E28" s="228" t="s">
        <v>2490</v>
      </c>
      <c r="F28" s="849"/>
      <c r="G28" s="228" t="s">
        <v>2491</v>
      </c>
      <c r="H28" s="849"/>
      <c r="I28" s="849" t="s">
        <v>2488</v>
      </c>
      <c r="J28" s="228" t="s">
        <v>2492</v>
      </c>
      <c r="K28" s="169"/>
      <c r="L28" s="849"/>
      <c r="M28" s="850" t="s">
        <v>2485</v>
      </c>
      <c r="N28" s="228" t="s">
        <v>2492</v>
      </c>
      <c r="O28" s="169"/>
      <c r="P28" s="849"/>
      <c r="Q28" s="25"/>
    </row>
    <row r="29" spans="1:23">
      <c r="A29" s="25" t="s">
        <v>2493</v>
      </c>
      <c r="B29" s="25" t="s">
        <v>2494</v>
      </c>
      <c r="C29" s="25" t="s">
        <v>251</v>
      </c>
      <c r="D29" s="850" t="s">
        <v>251</v>
      </c>
      <c r="E29" s="767" t="s">
        <v>251</v>
      </c>
      <c r="F29" s="849"/>
      <c r="G29" s="767" t="s">
        <v>2495</v>
      </c>
      <c r="H29" s="849"/>
      <c r="I29" s="849" t="s">
        <v>2495</v>
      </c>
      <c r="J29" s="851" t="s">
        <v>2496</v>
      </c>
      <c r="K29" s="169" t="s">
        <v>2497</v>
      </c>
      <c r="L29" s="852" t="s">
        <v>251</v>
      </c>
      <c r="M29" s="850" t="s">
        <v>2487</v>
      </c>
      <c r="N29" s="853" t="s">
        <v>2498</v>
      </c>
      <c r="O29" s="169" t="s">
        <v>2497</v>
      </c>
      <c r="P29" s="854" t="s">
        <v>2493</v>
      </c>
      <c r="Q29" s="855" t="s">
        <v>2499</v>
      </c>
    </row>
    <row r="30" spans="1:23">
      <c r="A30" s="25" t="s">
        <v>2500</v>
      </c>
      <c r="B30" s="25" t="s">
        <v>2500</v>
      </c>
      <c r="C30" s="25" t="s">
        <v>2500</v>
      </c>
      <c r="D30" s="848" t="s">
        <v>2501</v>
      </c>
      <c r="E30" s="851" t="s">
        <v>2502</v>
      </c>
      <c r="F30" s="849"/>
      <c r="G30" s="228" t="s">
        <v>2503</v>
      </c>
      <c r="H30" s="849"/>
      <c r="I30" s="849" t="s">
        <v>2500</v>
      </c>
      <c r="J30" s="346"/>
      <c r="K30" s="346"/>
      <c r="L30" s="346"/>
      <c r="M30" s="850" t="s">
        <v>2500</v>
      </c>
      <c r="N30" s="856"/>
      <c r="O30" s="857"/>
      <c r="P30" s="858"/>
      <c r="Q30" s="25"/>
    </row>
    <row r="31" spans="1:23">
      <c r="A31" s="859"/>
      <c r="B31" s="859"/>
      <c r="C31" s="859"/>
      <c r="D31" s="859"/>
      <c r="E31" s="1652" t="s">
        <v>2504</v>
      </c>
      <c r="F31" s="1653"/>
      <c r="G31" s="1652" t="s">
        <v>2504</v>
      </c>
      <c r="H31" s="1653"/>
      <c r="I31" s="860"/>
      <c r="J31" s="851" t="s">
        <v>2496</v>
      </c>
      <c r="K31" s="169"/>
      <c r="L31" s="849" t="s">
        <v>251</v>
      </c>
      <c r="M31" s="861"/>
      <c r="N31" s="853" t="s">
        <v>2498</v>
      </c>
      <c r="O31" s="169"/>
      <c r="P31" s="862" t="s">
        <v>2493</v>
      </c>
      <c r="Q31" s="863" t="s">
        <v>2505</v>
      </c>
    </row>
    <row r="32" spans="1:23">
      <c r="A32" s="864">
        <v>100</v>
      </c>
      <c r="B32" s="864">
        <v>100</v>
      </c>
      <c r="C32" s="865">
        <v>110</v>
      </c>
      <c r="D32" s="866">
        <f>C32/B32</f>
        <v>1.1000000000000001</v>
      </c>
      <c r="E32" s="223" t="s">
        <v>2506</v>
      </c>
      <c r="F32" s="867">
        <f>C32/B32-1</f>
        <v>0.10000000000000009</v>
      </c>
      <c r="G32" s="223" t="s">
        <v>2506</v>
      </c>
      <c r="H32" s="868">
        <f>1/(C32/B32-1)</f>
        <v>9.9999999999999911</v>
      </c>
      <c r="I32" s="869">
        <f>B32+H32*B32</f>
        <v>1099.9999999999991</v>
      </c>
      <c r="J32" s="870" t="s">
        <v>2507</v>
      </c>
      <c r="K32" s="871" t="s">
        <v>2497</v>
      </c>
      <c r="L32" s="872">
        <f>C32/I32</f>
        <v>0.10000000000000009</v>
      </c>
      <c r="M32" s="873">
        <f>A32*J32/L32</f>
        <v>999.99999999999909</v>
      </c>
      <c r="N32" s="870" t="s">
        <v>2507</v>
      </c>
      <c r="O32" s="871" t="s">
        <v>2497</v>
      </c>
      <c r="P32" s="872">
        <f>A32/M32</f>
        <v>0.10000000000000009</v>
      </c>
      <c r="Q32" s="874">
        <f>1/P32</f>
        <v>9.9999999999999911</v>
      </c>
    </row>
    <row r="33" spans="1:17">
      <c r="A33" s="864">
        <v>100</v>
      </c>
      <c r="B33" s="864">
        <v>100</v>
      </c>
      <c r="C33" s="875">
        <v>120</v>
      </c>
      <c r="D33" s="866">
        <f t="shared" ref="D33:D44" si="0">C33/B33</f>
        <v>1.2</v>
      </c>
      <c r="E33" s="767" t="s">
        <v>2506</v>
      </c>
      <c r="F33" s="876">
        <f t="shared" ref="F33:F44" si="1">C33/B33-1</f>
        <v>0.19999999999999996</v>
      </c>
      <c r="G33" s="767" t="s">
        <v>2506</v>
      </c>
      <c r="H33" s="877">
        <f t="shared" ref="H33:H44" si="2">1/(C33/B33-1)</f>
        <v>5.0000000000000009</v>
      </c>
      <c r="I33" s="873">
        <f t="shared" ref="I33:I44" si="3">B33+H33*B33</f>
        <v>600.00000000000011</v>
      </c>
      <c r="J33" s="878" t="s">
        <v>2507</v>
      </c>
      <c r="K33" s="225" t="s">
        <v>2497</v>
      </c>
      <c r="L33" s="860">
        <f t="shared" ref="L33:L44" si="4">C33/I33</f>
        <v>0.19999999999999996</v>
      </c>
      <c r="M33" s="879">
        <f t="shared" ref="M33:M44" si="5">A33*J33/L33</f>
        <v>500.00000000000011</v>
      </c>
      <c r="N33" s="878" t="s">
        <v>2507</v>
      </c>
      <c r="O33" s="225" t="s">
        <v>2497</v>
      </c>
      <c r="P33" s="872">
        <f t="shared" ref="P33:P44" si="6">A33/M33</f>
        <v>0.19999999999999996</v>
      </c>
      <c r="Q33" s="874">
        <f t="shared" ref="Q33:Q44" si="7">1/P33</f>
        <v>5.0000000000000009</v>
      </c>
    </row>
    <row r="34" spans="1:17">
      <c r="A34" s="864">
        <v>100</v>
      </c>
      <c r="B34" s="864">
        <v>100</v>
      </c>
      <c r="C34" s="875">
        <v>130</v>
      </c>
      <c r="D34" s="866">
        <f t="shared" si="0"/>
        <v>1.3</v>
      </c>
      <c r="E34" s="767" t="s">
        <v>2506</v>
      </c>
      <c r="F34" s="876">
        <f t="shared" si="1"/>
        <v>0.30000000000000004</v>
      </c>
      <c r="G34" s="767" t="s">
        <v>2506</v>
      </c>
      <c r="H34" s="877">
        <f t="shared" si="2"/>
        <v>3.333333333333333</v>
      </c>
      <c r="I34" s="873">
        <f t="shared" si="3"/>
        <v>433.33333333333331</v>
      </c>
      <c r="J34" s="878" t="s">
        <v>2507</v>
      </c>
      <c r="K34" s="225" t="s">
        <v>2497</v>
      </c>
      <c r="L34" s="860">
        <f t="shared" si="4"/>
        <v>0.3</v>
      </c>
      <c r="M34" s="879">
        <f t="shared" si="5"/>
        <v>333.33333333333337</v>
      </c>
      <c r="N34" s="878" t="s">
        <v>2507</v>
      </c>
      <c r="O34" s="225" t="s">
        <v>2497</v>
      </c>
      <c r="P34" s="872">
        <f t="shared" si="6"/>
        <v>0.3</v>
      </c>
      <c r="Q34" s="874">
        <f t="shared" si="7"/>
        <v>3.3333333333333335</v>
      </c>
    </row>
    <row r="35" spans="1:17">
      <c r="A35" s="864">
        <v>100</v>
      </c>
      <c r="B35" s="864">
        <v>100</v>
      </c>
      <c r="C35" s="875">
        <v>140</v>
      </c>
      <c r="D35" s="866">
        <f t="shared" si="0"/>
        <v>1.4</v>
      </c>
      <c r="E35" s="767" t="s">
        <v>2506</v>
      </c>
      <c r="F35" s="876">
        <f t="shared" si="1"/>
        <v>0.39999999999999991</v>
      </c>
      <c r="G35" s="767" t="s">
        <v>2506</v>
      </c>
      <c r="H35" s="877">
        <f t="shared" si="2"/>
        <v>2.5000000000000004</v>
      </c>
      <c r="I35" s="873">
        <f t="shared" si="3"/>
        <v>350.00000000000006</v>
      </c>
      <c r="J35" s="878" t="s">
        <v>2507</v>
      </c>
      <c r="K35" s="225" t="s">
        <v>2497</v>
      </c>
      <c r="L35" s="860">
        <f t="shared" si="4"/>
        <v>0.39999999999999991</v>
      </c>
      <c r="M35" s="879">
        <f t="shared" si="5"/>
        <v>250.00000000000006</v>
      </c>
      <c r="N35" s="878" t="s">
        <v>2507</v>
      </c>
      <c r="O35" s="225" t="s">
        <v>2497</v>
      </c>
      <c r="P35" s="872">
        <f t="shared" si="6"/>
        <v>0.39999999999999991</v>
      </c>
      <c r="Q35" s="874">
        <f t="shared" si="7"/>
        <v>2.5000000000000004</v>
      </c>
    </row>
    <row r="36" spans="1:17">
      <c r="A36" s="864">
        <v>100</v>
      </c>
      <c r="B36" s="864">
        <v>100</v>
      </c>
      <c r="C36" s="875">
        <v>150</v>
      </c>
      <c r="D36" s="866">
        <f t="shared" si="0"/>
        <v>1.5</v>
      </c>
      <c r="E36" s="767" t="s">
        <v>2506</v>
      </c>
      <c r="F36" s="876">
        <f t="shared" si="1"/>
        <v>0.5</v>
      </c>
      <c r="G36" s="767" t="s">
        <v>2506</v>
      </c>
      <c r="H36" s="877">
        <f t="shared" si="2"/>
        <v>2</v>
      </c>
      <c r="I36" s="873">
        <f t="shared" si="3"/>
        <v>300</v>
      </c>
      <c r="J36" s="878" t="s">
        <v>2507</v>
      </c>
      <c r="K36" s="225" t="s">
        <v>2497</v>
      </c>
      <c r="L36" s="860">
        <f t="shared" si="4"/>
        <v>0.5</v>
      </c>
      <c r="M36" s="879">
        <f t="shared" si="5"/>
        <v>200</v>
      </c>
      <c r="N36" s="878" t="s">
        <v>2507</v>
      </c>
      <c r="O36" s="225" t="s">
        <v>2497</v>
      </c>
      <c r="P36" s="872">
        <f t="shared" si="6"/>
        <v>0.5</v>
      </c>
      <c r="Q36" s="874">
        <f t="shared" si="7"/>
        <v>2</v>
      </c>
    </row>
    <row r="37" spans="1:17">
      <c r="A37" s="864">
        <v>100</v>
      </c>
      <c r="B37" s="864">
        <v>100</v>
      </c>
      <c r="C37" s="875">
        <v>200</v>
      </c>
      <c r="D37" s="866">
        <f t="shared" si="0"/>
        <v>2</v>
      </c>
      <c r="E37" s="767" t="s">
        <v>2506</v>
      </c>
      <c r="F37" s="876">
        <f t="shared" si="1"/>
        <v>1</v>
      </c>
      <c r="G37" s="767" t="s">
        <v>2506</v>
      </c>
      <c r="H37" s="877">
        <f t="shared" si="2"/>
        <v>1</v>
      </c>
      <c r="I37" s="873">
        <f t="shared" si="3"/>
        <v>200</v>
      </c>
      <c r="J37" s="878" t="s">
        <v>2507</v>
      </c>
      <c r="K37" s="225" t="s">
        <v>2497</v>
      </c>
      <c r="L37" s="860">
        <f t="shared" si="4"/>
        <v>1</v>
      </c>
      <c r="M37" s="879">
        <f t="shared" si="5"/>
        <v>100</v>
      </c>
      <c r="N37" s="878" t="s">
        <v>2507</v>
      </c>
      <c r="O37" s="225" t="s">
        <v>2497</v>
      </c>
      <c r="P37" s="872">
        <f t="shared" si="6"/>
        <v>1</v>
      </c>
      <c r="Q37" s="874">
        <f t="shared" si="7"/>
        <v>1</v>
      </c>
    </row>
    <row r="38" spans="1:17">
      <c r="A38" s="864">
        <v>100</v>
      </c>
      <c r="B38" s="864">
        <v>100</v>
      </c>
      <c r="C38" s="875">
        <v>500</v>
      </c>
      <c r="D38" s="866">
        <f t="shared" si="0"/>
        <v>5</v>
      </c>
      <c r="E38" s="767" t="s">
        <v>2506</v>
      </c>
      <c r="F38" s="876">
        <f t="shared" si="1"/>
        <v>4</v>
      </c>
      <c r="G38" s="767" t="s">
        <v>2506</v>
      </c>
      <c r="H38" s="877">
        <f t="shared" si="2"/>
        <v>0.25</v>
      </c>
      <c r="I38" s="873">
        <f t="shared" si="3"/>
        <v>125</v>
      </c>
      <c r="J38" s="878" t="s">
        <v>2507</v>
      </c>
      <c r="K38" s="225" t="s">
        <v>2497</v>
      </c>
      <c r="L38" s="860">
        <f t="shared" si="4"/>
        <v>4</v>
      </c>
      <c r="M38" s="879">
        <f t="shared" si="5"/>
        <v>25</v>
      </c>
      <c r="N38" s="878" t="s">
        <v>2507</v>
      </c>
      <c r="O38" s="225" t="s">
        <v>2497</v>
      </c>
      <c r="P38" s="872">
        <f t="shared" si="6"/>
        <v>4</v>
      </c>
      <c r="Q38" s="874">
        <f t="shared" si="7"/>
        <v>0.25</v>
      </c>
    </row>
    <row r="39" spans="1:17">
      <c r="A39" s="864">
        <v>100</v>
      </c>
      <c r="B39" s="864">
        <v>100</v>
      </c>
      <c r="C39" s="875">
        <v>1100</v>
      </c>
      <c r="D39" s="866">
        <f t="shared" si="0"/>
        <v>11</v>
      </c>
      <c r="E39" s="767" t="s">
        <v>2506</v>
      </c>
      <c r="F39" s="876">
        <f t="shared" si="1"/>
        <v>10</v>
      </c>
      <c r="G39" s="767" t="s">
        <v>2506</v>
      </c>
      <c r="H39" s="877">
        <f t="shared" si="2"/>
        <v>0.1</v>
      </c>
      <c r="I39" s="873">
        <f t="shared" si="3"/>
        <v>110</v>
      </c>
      <c r="J39" s="878" t="s">
        <v>2507</v>
      </c>
      <c r="K39" s="225" t="s">
        <v>2497</v>
      </c>
      <c r="L39" s="860">
        <f t="shared" si="4"/>
        <v>10</v>
      </c>
      <c r="M39" s="879">
        <f t="shared" si="5"/>
        <v>10</v>
      </c>
      <c r="N39" s="878" t="s">
        <v>2507</v>
      </c>
      <c r="O39" s="225" t="s">
        <v>2497</v>
      </c>
      <c r="P39" s="872">
        <f t="shared" si="6"/>
        <v>10</v>
      </c>
      <c r="Q39" s="874">
        <f t="shared" si="7"/>
        <v>0.1</v>
      </c>
    </row>
    <row r="40" spans="1:17">
      <c r="A40" s="864">
        <v>100</v>
      </c>
      <c r="B40" s="864">
        <v>100</v>
      </c>
      <c r="C40" s="875">
        <v>2100</v>
      </c>
      <c r="D40" s="866">
        <f t="shared" si="0"/>
        <v>21</v>
      </c>
      <c r="E40" s="767" t="s">
        <v>2506</v>
      </c>
      <c r="F40" s="876">
        <f t="shared" si="1"/>
        <v>20</v>
      </c>
      <c r="G40" s="767" t="s">
        <v>2506</v>
      </c>
      <c r="H40" s="877">
        <f t="shared" si="2"/>
        <v>0.05</v>
      </c>
      <c r="I40" s="873">
        <f t="shared" si="3"/>
        <v>105</v>
      </c>
      <c r="J40" s="878" t="s">
        <v>2507</v>
      </c>
      <c r="K40" s="225" t="s">
        <v>2497</v>
      </c>
      <c r="L40" s="860">
        <f t="shared" si="4"/>
        <v>20</v>
      </c>
      <c r="M40" s="879">
        <f t="shared" si="5"/>
        <v>5</v>
      </c>
      <c r="N40" s="878" t="s">
        <v>2507</v>
      </c>
      <c r="O40" s="225" t="s">
        <v>2497</v>
      </c>
      <c r="P40" s="872">
        <f t="shared" si="6"/>
        <v>20</v>
      </c>
      <c r="Q40" s="874">
        <f t="shared" si="7"/>
        <v>0.05</v>
      </c>
    </row>
    <row r="41" spans="1:17">
      <c r="A41" s="864">
        <v>100</v>
      </c>
      <c r="B41" s="864">
        <v>100</v>
      </c>
      <c r="C41" s="875">
        <v>5100</v>
      </c>
      <c r="D41" s="866">
        <f t="shared" si="0"/>
        <v>51</v>
      </c>
      <c r="E41" s="767" t="s">
        <v>2506</v>
      </c>
      <c r="F41" s="876">
        <f t="shared" si="1"/>
        <v>50</v>
      </c>
      <c r="G41" s="767" t="s">
        <v>2506</v>
      </c>
      <c r="H41" s="877">
        <f t="shared" si="2"/>
        <v>0.02</v>
      </c>
      <c r="I41" s="873">
        <f t="shared" si="3"/>
        <v>102</v>
      </c>
      <c r="J41" s="878" t="s">
        <v>2507</v>
      </c>
      <c r="K41" s="225" t="s">
        <v>2497</v>
      </c>
      <c r="L41" s="860">
        <f t="shared" si="4"/>
        <v>50</v>
      </c>
      <c r="M41" s="879">
        <f t="shared" si="5"/>
        <v>2</v>
      </c>
      <c r="N41" s="878" t="s">
        <v>2507</v>
      </c>
      <c r="O41" s="225" t="s">
        <v>2497</v>
      </c>
      <c r="P41" s="872">
        <f t="shared" si="6"/>
        <v>50</v>
      </c>
      <c r="Q41" s="874">
        <f t="shared" si="7"/>
        <v>0.02</v>
      </c>
    </row>
    <row r="42" spans="1:17">
      <c r="A42" s="864">
        <v>100</v>
      </c>
      <c r="B42" s="864">
        <v>100</v>
      </c>
      <c r="C42" s="875">
        <v>10100</v>
      </c>
      <c r="D42" s="866">
        <f t="shared" si="0"/>
        <v>101</v>
      </c>
      <c r="E42" s="767" t="s">
        <v>2506</v>
      </c>
      <c r="F42" s="876">
        <f t="shared" si="1"/>
        <v>100</v>
      </c>
      <c r="G42" s="767" t="s">
        <v>2506</v>
      </c>
      <c r="H42" s="877">
        <f t="shared" si="2"/>
        <v>0.01</v>
      </c>
      <c r="I42" s="873">
        <f t="shared" si="3"/>
        <v>101</v>
      </c>
      <c r="J42" s="878" t="s">
        <v>2507</v>
      </c>
      <c r="K42" s="225" t="s">
        <v>2497</v>
      </c>
      <c r="L42" s="860">
        <f t="shared" si="4"/>
        <v>100</v>
      </c>
      <c r="M42" s="879">
        <f t="shared" si="5"/>
        <v>1</v>
      </c>
      <c r="N42" s="878" t="s">
        <v>2507</v>
      </c>
      <c r="O42" s="225" t="s">
        <v>2497</v>
      </c>
      <c r="P42" s="872">
        <f t="shared" si="6"/>
        <v>100</v>
      </c>
      <c r="Q42" s="874">
        <f t="shared" si="7"/>
        <v>0.01</v>
      </c>
    </row>
    <row r="43" spans="1:17">
      <c r="A43" s="864">
        <v>100</v>
      </c>
      <c r="B43" s="864">
        <v>100</v>
      </c>
      <c r="C43" s="875">
        <v>100100</v>
      </c>
      <c r="D43" s="866">
        <f t="shared" si="0"/>
        <v>1001</v>
      </c>
      <c r="E43" s="767" t="s">
        <v>2506</v>
      </c>
      <c r="F43" s="876">
        <f t="shared" si="1"/>
        <v>1000</v>
      </c>
      <c r="G43" s="767" t="s">
        <v>2506</v>
      </c>
      <c r="H43" s="877">
        <f t="shared" si="2"/>
        <v>1E-3</v>
      </c>
      <c r="I43" s="873">
        <f t="shared" si="3"/>
        <v>100.1</v>
      </c>
      <c r="J43" s="878" t="s">
        <v>2507</v>
      </c>
      <c r="K43" s="225" t="s">
        <v>2497</v>
      </c>
      <c r="L43" s="860">
        <f t="shared" si="4"/>
        <v>1000</v>
      </c>
      <c r="M43" s="879">
        <f t="shared" si="5"/>
        <v>0.1</v>
      </c>
      <c r="N43" s="878" t="s">
        <v>2507</v>
      </c>
      <c r="O43" s="225" t="s">
        <v>2497</v>
      </c>
      <c r="P43" s="872">
        <f t="shared" si="6"/>
        <v>1000</v>
      </c>
      <c r="Q43" s="874">
        <f t="shared" si="7"/>
        <v>1E-3</v>
      </c>
    </row>
    <row r="44" spans="1:17">
      <c r="A44" s="864">
        <v>100</v>
      </c>
      <c r="B44" s="864">
        <v>100</v>
      </c>
      <c r="C44" s="875">
        <v>1000100</v>
      </c>
      <c r="D44" s="866">
        <f t="shared" si="0"/>
        <v>10001</v>
      </c>
      <c r="E44" s="224" t="s">
        <v>2506</v>
      </c>
      <c r="F44" s="880">
        <f t="shared" si="1"/>
        <v>10000</v>
      </c>
      <c r="G44" s="224" t="s">
        <v>2506</v>
      </c>
      <c r="H44" s="881">
        <f t="shared" si="2"/>
        <v>1E-4</v>
      </c>
      <c r="I44" s="873">
        <f t="shared" si="3"/>
        <v>100.01</v>
      </c>
      <c r="J44" s="878" t="s">
        <v>2507</v>
      </c>
      <c r="K44" s="225" t="s">
        <v>2497</v>
      </c>
      <c r="L44" s="860">
        <f t="shared" si="4"/>
        <v>10000</v>
      </c>
      <c r="M44" s="879">
        <f t="shared" si="5"/>
        <v>0.01</v>
      </c>
      <c r="N44" s="878" t="s">
        <v>2507</v>
      </c>
      <c r="O44" s="225" t="s">
        <v>2497</v>
      </c>
      <c r="P44" s="872">
        <f t="shared" si="6"/>
        <v>10000</v>
      </c>
      <c r="Q44" s="874">
        <f t="shared" si="7"/>
        <v>1E-4</v>
      </c>
    </row>
    <row r="45" spans="1:17">
      <c r="F45" s="882"/>
      <c r="H45" s="882"/>
    </row>
    <row r="46" spans="1:17">
      <c r="F46" s="329" t="s">
        <v>2508</v>
      </c>
    </row>
    <row r="48" spans="1:17">
      <c r="A48" s="841" t="s">
        <v>2509</v>
      </c>
      <c r="B48" s="346"/>
      <c r="C48" s="346"/>
      <c r="D48" s="346"/>
      <c r="E48" s="346"/>
      <c r="F48" s="346"/>
      <c r="G48" s="346"/>
      <c r="H48" s="346"/>
      <c r="I48" s="346"/>
      <c r="J48" s="346"/>
      <c r="K48" s="346"/>
      <c r="L48" s="346"/>
      <c r="M48" s="346"/>
      <c r="N48" s="346"/>
      <c r="O48" s="346"/>
      <c r="P48" s="346"/>
      <c r="Q48" s="346"/>
    </row>
    <row r="49" spans="1:17">
      <c r="A49" s="62"/>
      <c r="B49" s="346"/>
      <c r="C49" s="346"/>
      <c r="D49" s="346"/>
      <c r="E49" s="346"/>
      <c r="F49" s="346"/>
      <c r="G49" s="346"/>
      <c r="H49" s="346"/>
      <c r="I49" s="346"/>
      <c r="J49" s="346"/>
      <c r="K49" s="346"/>
      <c r="L49" s="346"/>
      <c r="M49" s="346"/>
      <c r="N49" s="346"/>
      <c r="O49" s="346"/>
      <c r="P49" s="346"/>
      <c r="Q49" s="346"/>
    </row>
    <row r="50" spans="1:17">
      <c r="A50" s="28" t="s">
        <v>672</v>
      </c>
      <c r="B50" s="841" t="s">
        <v>2510</v>
      </c>
      <c r="C50" s="346"/>
      <c r="D50" s="346"/>
      <c r="E50" s="346"/>
      <c r="F50" s="346"/>
      <c r="G50" s="346"/>
      <c r="H50" s="346"/>
      <c r="I50" s="346"/>
      <c r="J50" s="346"/>
      <c r="K50" s="346"/>
      <c r="L50" s="346"/>
      <c r="M50" s="346"/>
      <c r="N50" s="346"/>
      <c r="O50" s="346"/>
      <c r="P50" s="346"/>
      <c r="Q50" s="346"/>
    </row>
    <row r="51" spans="1:17">
      <c r="A51" s="346"/>
      <c r="B51" s="841" t="s">
        <v>2511</v>
      </c>
      <c r="C51" s="346"/>
      <c r="D51" s="346"/>
      <c r="E51" s="346"/>
      <c r="F51" s="346"/>
      <c r="G51" s="346"/>
      <c r="H51" s="346"/>
      <c r="I51" s="346"/>
      <c r="J51" s="346"/>
      <c r="K51" s="346"/>
      <c r="L51" s="346"/>
      <c r="M51" s="346"/>
      <c r="N51" s="346"/>
      <c r="O51" s="346"/>
      <c r="P51" s="346"/>
      <c r="Q51" s="346"/>
    </row>
    <row r="52" spans="1:17">
      <c r="A52" s="346"/>
      <c r="B52" s="841" t="s">
        <v>2512</v>
      </c>
      <c r="C52" s="346"/>
      <c r="D52" s="346"/>
      <c r="E52" s="346"/>
      <c r="F52" s="346"/>
      <c r="G52" s="346"/>
      <c r="H52" s="346"/>
      <c r="I52" s="346"/>
      <c r="J52" s="346"/>
      <c r="K52" s="346"/>
      <c r="L52" s="346"/>
      <c r="M52" s="346"/>
      <c r="N52" s="346"/>
      <c r="O52" s="346"/>
      <c r="P52" s="346"/>
      <c r="Q52" s="346"/>
    </row>
    <row r="53" spans="1:17">
      <c r="A53" s="62"/>
      <c r="B53" s="329" t="s">
        <v>2513</v>
      </c>
      <c r="C53" s="346"/>
      <c r="D53" s="346"/>
      <c r="E53" s="346"/>
      <c r="F53" s="346"/>
      <c r="G53" s="346"/>
      <c r="H53" s="346"/>
      <c r="I53" s="346"/>
      <c r="J53" s="346"/>
      <c r="K53" s="346"/>
      <c r="L53" s="346"/>
      <c r="M53" s="346"/>
      <c r="N53" s="346"/>
      <c r="O53" s="346"/>
      <c r="P53" s="346"/>
      <c r="Q53" s="346"/>
    </row>
    <row r="54" spans="1:17">
      <c r="A54" s="62"/>
      <c r="B54" s="841" t="s">
        <v>2514</v>
      </c>
      <c r="C54" s="346"/>
      <c r="D54" s="346"/>
      <c r="E54" s="346"/>
      <c r="F54" s="346"/>
      <c r="G54" s="346"/>
      <c r="H54" s="346"/>
      <c r="I54" s="346"/>
      <c r="J54" s="346"/>
      <c r="K54" s="346"/>
      <c r="L54" s="346"/>
      <c r="M54" s="346"/>
      <c r="N54" s="346"/>
      <c r="O54" s="346"/>
      <c r="P54" s="346"/>
      <c r="Q54" s="346"/>
    </row>
    <row r="55" spans="1:17">
      <c r="A55" s="62"/>
      <c r="B55" s="841" t="s">
        <v>2515</v>
      </c>
      <c r="C55" s="346"/>
      <c r="D55" s="346"/>
      <c r="E55" s="346"/>
      <c r="F55" s="346"/>
      <c r="G55" s="346"/>
      <c r="H55" s="346"/>
      <c r="I55" s="346"/>
      <c r="J55" s="346"/>
      <c r="K55" s="346"/>
      <c r="L55" s="346"/>
      <c r="M55" s="346"/>
      <c r="N55" s="346"/>
      <c r="O55" s="346"/>
      <c r="P55" s="346"/>
      <c r="Q55" s="346"/>
    </row>
    <row r="56" spans="1:17">
      <c r="A56" s="62"/>
      <c r="B56" s="841" t="s">
        <v>2516</v>
      </c>
      <c r="C56" s="346"/>
      <c r="D56" s="346"/>
      <c r="E56" s="346"/>
      <c r="F56" s="346"/>
      <c r="G56" s="346"/>
      <c r="H56" s="346"/>
      <c r="I56" s="346"/>
      <c r="J56" s="346"/>
      <c r="K56" s="346"/>
      <c r="L56" s="346"/>
      <c r="M56" s="346"/>
      <c r="N56" s="346"/>
      <c r="O56" s="346"/>
      <c r="P56" s="346"/>
      <c r="Q56" s="346"/>
    </row>
    <row r="57" spans="1:17">
      <c r="A57" s="62"/>
      <c r="C57" s="346"/>
      <c r="D57" s="346"/>
      <c r="E57" s="346"/>
      <c r="F57" s="346"/>
      <c r="G57" s="346"/>
      <c r="H57" s="346"/>
      <c r="I57" s="346"/>
      <c r="J57" s="346"/>
      <c r="K57" s="346"/>
      <c r="L57" s="346"/>
      <c r="M57" s="346"/>
      <c r="N57" s="346"/>
      <c r="O57" s="346"/>
      <c r="P57" s="346"/>
      <c r="Q57" s="346"/>
    </row>
    <row r="58" spans="1:17">
      <c r="A58" s="28" t="s">
        <v>673</v>
      </c>
      <c r="B58" s="841" t="s">
        <v>2517</v>
      </c>
      <c r="C58" s="346"/>
      <c r="D58" s="346"/>
      <c r="E58" s="346"/>
      <c r="F58" s="346"/>
      <c r="G58" s="346"/>
      <c r="H58" s="346"/>
      <c r="I58" s="346"/>
      <c r="J58" s="346"/>
      <c r="K58" s="346"/>
      <c r="L58" s="346"/>
      <c r="M58" s="346"/>
      <c r="N58" s="346"/>
      <c r="O58" s="346"/>
      <c r="P58" s="346"/>
      <c r="Q58" s="346"/>
    </row>
    <row r="59" spans="1:17">
      <c r="A59" s="62"/>
      <c r="B59" s="841" t="s">
        <v>2518</v>
      </c>
      <c r="C59" s="346"/>
      <c r="D59" s="346"/>
      <c r="E59" s="346"/>
      <c r="F59" s="346"/>
      <c r="G59" s="346"/>
      <c r="H59" s="346"/>
      <c r="I59" s="346"/>
      <c r="J59" s="346"/>
      <c r="K59" s="346"/>
      <c r="L59" s="346"/>
      <c r="M59" s="346"/>
      <c r="N59" s="346"/>
      <c r="O59" s="346"/>
      <c r="P59" s="346"/>
      <c r="Q59" s="346"/>
    </row>
    <row r="60" spans="1:17">
      <c r="A60" s="62"/>
      <c r="B60" s="841" t="s">
        <v>2519</v>
      </c>
      <c r="C60" s="346"/>
      <c r="D60" s="346"/>
      <c r="E60" s="346"/>
      <c r="F60" s="346"/>
      <c r="G60" s="346"/>
      <c r="H60" s="346"/>
      <c r="I60" s="346"/>
      <c r="J60" s="346"/>
      <c r="K60" s="346"/>
      <c r="L60" s="346"/>
      <c r="M60" s="346"/>
      <c r="N60" s="346"/>
      <c r="O60" s="346"/>
      <c r="P60" s="346"/>
      <c r="Q60" s="346"/>
    </row>
    <row r="61" spans="1:17">
      <c r="A61" s="62"/>
      <c r="B61" s="62"/>
      <c r="C61" s="346"/>
      <c r="D61" s="346"/>
      <c r="E61" s="346"/>
      <c r="F61" s="346"/>
      <c r="G61" s="346"/>
      <c r="H61" s="346"/>
      <c r="I61" s="346"/>
      <c r="J61" s="346"/>
      <c r="K61" s="346"/>
      <c r="L61" s="346"/>
      <c r="M61" s="346"/>
      <c r="N61" s="346"/>
      <c r="O61" s="346"/>
      <c r="P61" s="346"/>
      <c r="Q61" s="346"/>
    </row>
    <row r="62" spans="1:17">
      <c r="A62" s="28" t="s">
        <v>674</v>
      </c>
      <c r="B62" s="841" t="s">
        <v>2520</v>
      </c>
      <c r="C62" s="346"/>
      <c r="D62" s="346"/>
      <c r="E62" s="346"/>
      <c r="F62" s="346"/>
      <c r="G62" s="346"/>
      <c r="H62" s="346"/>
      <c r="I62" s="346"/>
      <c r="J62" s="346"/>
      <c r="K62" s="346"/>
      <c r="L62" s="346"/>
      <c r="M62" s="346"/>
      <c r="N62" s="346"/>
      <c r="O62" s="346"/>
      <c r="P62" s="346"/>
      <c r="Q62" s="346"/>
    </row>
    <row r="63" spans="1:17">
      <c r="A63" s="62"/>
      <c r="B63" s="841" t="s">
        <v>2521</v>
      </c>
      <c r="C63" s="346"/>
      <c r="D63" s="346"/>
      <c r="E63" s="346"/>
      <c r="F63" s="346"/>
      <c r="G63" s="346"/>
      <c r="H63" s="346"/>
      <c r="I63" s="346"/>
      <c r="J63" s="346"/>
      <c r="K63" s="346"/>
      <c r="L63" s="346"/>
      <c r="M63" s="346"/>
      <c r="N63" s="346"/>
      <c r="O63" s="346"/>
      <c r="P63" s="346"/>
      <c r="Q63" s="346"/>
    </row>
    <row r="64" spans="1:17">
      <c r="A64" s="62"/>
      <c r="B64" s="841" t="s">
        <v>2522</v>
      </c>
      <c r="C64" s="346"/>
      <c r="D64" s="346"/>
      <c r="E64" s="346"/>
      <c r="F64" s="346"/>
      <c r="G64" s="346"/>
      <c r="H64" s="346"/>
      <c r="I64" s="346"/>
      <c r="J64" s="346"/>
      <c r="K64" s="346"/>
      <c r="L64" s="346"/>
      <c r="M64" s="346"/>
      <c r="N64" s="346"/>
      <c r="O64" s="346"/>
      <c r="P64" s="346"/>
      <c r="Q64" s="346"/>
    </row>
    <row r="65" spans="1:17">
      <c r="A65" s="62"/>
      <c r="B65" s="841" t="s">
        <v>2523</v>
      </c>
      <c r="C65" s="346"/>
      <c r="D65" s="346"/>
      <c r="E65" s="346"/>
      <c r="F65" s="346"/>
      <c r="G65" s="346"/>
      <c r="H65" s="346"/>
      <c r="I65" s="346"/>
      <c r="J65" s="346"/>
      <c r="K65" s="346"/>
      <c r="L65" s="346"/>
      <c r="M65" s="346"/>
      <c r="N65" s="346"/>
      <c r="O65" s="346"/>
      <c r="P65" s="346"/>
      <c r="Q65" s="346"/>
    </row>
    <row r="66" spans="1:17">
      <c r="A66" s="62"/>
      <c r="B66" s="62"/>
      <c r="C66" s="346"/>
      <c r="D66" s="346"/>
      <c r="E66" s="346"/>
      <c r="F66" s="346"/>
      <c r="G66" s="346"/>
      <c r="H66" s="346"/>
      <c r="I66" s="346"/>
      <c r="J66" s="346"/>
      <c r="K66" s="346"/>
      <c r="L66" s="346"/>
      <c r="M66" s="346"/>
      <c r="N66" s="346"/>
      <c r="O66" s="346"/>
      <c r="P66" s="346"/>
      <c r="Q66" s="346"/>
    </row>
    <row r="67" spans="1:17">
      <c r="A67" s="28" t="s">
        <v>675</v>
      </c>
      <c r="B67" s="841" t="s">
        <v>2524</v>
      </c>
      <c r="C67" s="346"/>
      <c r="D67" s="346"/>
      <c r="E67" s="346"/>
      <c r="F67" s="346"/>
      <c r="G67" s="346"/>
      <c r="H67" s="346"/>
      <c r="I67" s="346"/>
      <c r="J67" s="346"/>
      <c r="K67" s="346"/>
      <c r="L67" s="346"/>
      <c r="M67" s="346"/>
      <c r="N67" s="346"/>
      <c r="O67" s="346"/>
      <c r="P67" s="346"/>
      <c r="Q67" s="346"/>
    </row>
    <row r="68" spans="1:17">
      <c r="A68" s="62"/>
      <c r="B68" s="62"/>
      <c r="C68" s="346"/>
      <c r="D68" s="346"/>
      <c r="E68" s="346"/>
      <c r="F68" s="346"/>
      <c r="G68" s="346"/>
      <c r="H68" s="346"/>
      <c r="I68" s="346"/>
      <c r="J68" s="346"/>
      <c r="K68" s="346"/>
      <c r="L68" s="346"/>
      <c r="M68" s="346"/>
      <c r="N68" s="346"/>
      <c r="O68" s="346"/>
      <c r="P68" s="346"/>
      <c r="Q68" s="346"/>
    </row>
    <row r="69" spans="1:17">
      <c r="A69" s="62"/>
      <c r="B69" s="62"/>
      <c r="C69" s="346"/>
      <c r="D69" s="346"/>
      <c r="E69" s="346"/>
      <c r="F69" s="346"/>
      <c r="G69" s="346"/>
      <c r="H69" s="346"/>
      <c r="I69" s="346"/>
      <c r="J69" s="346"/>
      <c r="K69" s="346"/>
      <c r="L69" s="346"/>
      <c r="M69" s="346"/>
      <c r="N69" s="346"/>
      <c r="O69" s="346"/>
      <c r="P69" s="346"/>
      <c r="Q69" s="346"/>
    </row>
    <row r="70" spans="1:17">
      <c r="A70" s="62"/>
      <c r="B70" s="62"/>
      <c r="C70" s="346"/>
      <c r="D70" s="346"/>
      <c r="E70" s="346"/>
      <c r="F70" s="346"/>
      <c r="G70" s="346"/>
      <c r="H70" s="346"/>
      <c r="I70" s="346"/>
      <c r="J70" s="346"/>
      <c r="K70" s="346"/>
      <c r="L70" s="346"/>
      <c r="M70" s="346"/>
      <c r="N70" s="346"/>
      <c r="O70" s="346"/>
      <c r="P70" s="346"/>
      <c r="Q70" s="346"/>
    </row>
    <row r="71" spans="1:17">
      <c r="A71" s="841" t="s">
        <v>2525</v>
      </c>
      <c r="B71" s="62"/>
      <c r="C71" s="346"/>
      <c r="D71" s="346"/>
      <c r="E71" s="346"/>
      <c r="F71" s="346"/>
      <c r="G71" s="346"/>
      <c r="H71" s="346"/>
      <c r="I71" s="346"/>
      <c r="J71" s="346"/>
      <c r="K71" s="346"/>
      <c r="L71" s="346"/>
      <c r="M71" s="346"/>
      <c r="N71" s="346"/>
      <c r="O71" s="346"/>
      <c r="P71" s="346"/>
      <c r="Q71" s="346"/>
    </row>
    <row r="72" spans="1:17">
      <c r="A72" s="62"/>
      <c r="B72" s="62"/>
      <c r="C72" s="346"/>
      <c r="D72" s="346"/>
      <c r="E72" s="346"/>
      <c r="F72" s="346"/>
      <c r="G72" s="346"/>
      <c r="H72" s="346"/>
      <c r="I72" s="346"/>
      <c r="J72" s="346"/>
      <c r="K72" s="346"/>
      <c r="L72" s="346"/>
      <c r="M72" s="346"/>
      <c r="N72" s="346"/>
      <c r="O72" s="346"/>
      <c r="P72" s="346"/>
      <c r="Q72" s="346"/>
    </row>
    <row r="73" spans="1:17">
      <c r="A73" s="62"/>
      <c r="B73" s="62"/>
      <c r="C73" s="346"/>
      <c r="D73" s="346"/>
      <c r="E73" s="346"/>
      <c r="F73" s="346"/>
      <c r="G73" s="346"/>
      <c r="H73" s="346"/>
      <c r="I73" s="346"/>
      <c r="J73" s="346"/>
      <c r="K73" s="346"/>
      <c r="L73" s="346"/>
      <c r="M73" s="346"/>
      <c r="N73" s="346"/>
      <c r="O73" s="346"/>
      <c r="P73" s="346"/>
      <c r="Q73" s="346"/>
    </row>
    <row r="74" spans="1:17">
      <c r="A74" s="842" t="s">
        <v>2484</v>
      </c>
      <c r="B74" s="843"/>
      <c r="C74" s="843" t="s">
        <v>2484</v>
      </c>
      <c r="D74" s="843"/>
      <c r="E74" s="844"/>
      <c r="F74" s="845"/>
      <c r="G74" s="844"/>
      <c r="H74" s="845"/>
      <c r="I74" s="845" t="s">
        <v>2485</v>
      </c>
      <c r="J74" s="1649" t="s">
        <v>2486</v>
      </c>
      <c r="K74" s="1650"/>
      <c r="L74" s="1651"/>
      <c r="M74" s="846"/>
      <c r="N74" s="1649" t="s">
        <v>2486</v>
      </c>
      <c r="O74" s="1650"/>
      <c r="P74" s="1651"/>
      <c r="Q74" s="847" t="s">
        <v>2486</v>
      </c>
    </row>
    <row r="75" spans="1:17">
      <c r="A75" s="25" t="s">
        <v>2487</v>
      </c>
      <c r="B75" s="25" t="s">
        <v>1773</v>
      </c>
      <c r="C75" s="25" t="s">
        <v>2488</v>
      </c>
      <c r="D75" s="848" t="s">
        <v>2489</v>
      </c>
      <c r="E75" s="228" t="s">
        <v>2490</v>
      </c>
      <c r="F75" s="849"/>
      <c r="G75" s="228" t="s">
        <v>2491</v>
      </c>
      <c r="H75" s="849"/>
      <c r="I75" s="849" t="s">
        <v>2488</v>
      </c>
      <c r="J75" s="228" t="s">
        <v>2492</v>
      </c>
      <c r="K75" s="169"/>
      <c r="L75" s="849"/>
      <c r="M75" s="850" t="s">
        <v>2485</v>
      </c>
      <c r="N75" s="228" t="s">
        <v>2492</v>
      </c>
      <c r="O75" s="169"/>
      <c r="P75" s="849"/>
      <c r="Q75" s="25"/>
    </row>
    <row r="76" spans="1:17">
      <c r="A76" s="25" t="s">
        <v>2493</v>
      </c>
      <c r="B76" s="25" t="s">
        <v>2494</v>
      </c>
      <c r="C76" s="25" t="s">
        <v>251</v>
      </c>
      <c r="D76" s="850" t="s">
        <v>251</v>
      </c>
      <c r="E76" s="767" t="s">
        <v>251</v>
      </c>
      <c r="F76" s="849"/>
      <c r="G76" s="767" t="s">
        <v>2495</v>
      </c>
      <c r="H76" s="849"/>
      <c r="I76" s="849" t="s">
        <v>2495</v>
      </c>
      <c r="J76" s="851" t="s">
        <v>2496</v>
      </c>
      <c r="K76" s="169" t="s">
        <v>2497</v>
      </c>
      <c r="L76" s="852" t="s">
        <v>251</v>
      </c>
      <c r="M76" s="850" t="s">
        <v>2487</v>
      </c>
      <c r="N76" s="853" t="s">
        <v>2498</v>
      </c>
      <c r="O76" s="169" t="s">
        <v>2497</v>
      </c>
      <c r="P76" s="854" t="s">
        <v>2493</v>
      </c>
      <c r="Q76" s="855" t="s">
        <v>2499</v>
      </c>
    </row>
    <row r="77" spans="1:17">
      <c r="A77" s="25" t="s">
        <v>2500</v>
      </c>
      <c r="B77" s="25" t="s">
        <v>2500</v>
      </c>
      <c r="C77" s="25" t="s">
        <v>2500</v>
      </c>
      <c r="D77" s="848" t="s">
        <v>2501</v>
      </c>
      <c r="E77" s="851" t="s">
        <v>2502</v>
      </c>
      <c r="F77" s="849"/>
      <c r="G77" s="228" t="s">
        <v>2503</v>
      </c>
      <c r="H77" s="849"/>
      <c r="I77" s="849" t="s">
        <v>2500</v>
      </c>
      <c r="J77" s="856"/>
      <c r="K77" s="857"/>
      <c r="L77" s="858"/>
      <c r="M77" s="850" t="s">
        <v>2500</v>
      </c>
      <c r="N77" s="856"/>
      <c r="O77" s="857"/>
      <c r="P77" s="858"/>
      <c r="Q77" s="25"/>
    </row>
    <row r="78" spans="1:17">
      <c r="A78" s="859"/>
      <c r="B78" s="859"/>
      <c r="C78" s="859"/>
      <c r="D78" s="859"/>
      <c r="E78" s="1647" t="s">
        <v>2504</v>
      </c>
      <c r="F78" s="1648"/>
      <c r="G78" s="1647" t="s">
        <v>2504</v>
      </c>
      <c r="H78" s="1648"/>
      <c r="I78" s="860"/>
      <c r="J78" s="883" t="s">
        <v>2496</v>
      </c>
      <c r="K78" s="225"/>
      <c r="L78" s="860" t="s">
        <v>251</v>
      </c>
      <c r="M78" s="861"/>
      <c r="N78" s="884" t="s">
        <v>2498</v>
      </c>
      <c r="O78" s="225"/>
      <c r="P78" s="885" t="s">
        <v>2493</v>
      </c>
      <c r="Q78" s="863" t="s">
        <v>2505</v>
      </c>
    </row>
    <row r="79" spans="1:17">
      <c r="A79" s="886">
        <v>100</v>
      </c>
      <c r="B79" s="887">
        <v>100</v>
      </c>
      <c r="C79" s="888">
        <v>110</v>
      </c>
      <c r="D79" s="889"/>
      <c r="E79" s="224" t="s">
        <v>2506</v>
      </c>
      <c r="F79" s="860"/>
      <c r="G79" s="224" t="s">
        <v>2506</v>
      </c>
      <c r="H79" s="890"/>
      <c r="I79" s="879"/>
      <c r="J79" s="878" t="s">
        <v>2507</v>
      </c>
      <c r="K79" s="225" t="s">
        <v>2497</v>
      </c>
      <c r="L79" s="860"/>
      <c r="M79" s="879"/>
      <c r="N79" s="878" t="s">
        <v>2507</v>
      </c>
      <c r="O79" s="225" t="s">
        <v>2497</v>
      </c>
      <c r="P79" s="860"/>
      <c r="Q79" s="874"/>
    </row>
    <row r="80" spans="1:17">
      <c r="A80" s="75"/>
      <c r="B80" s="75"/>
      <c r="C80" s="75"/>
      <c r="D80" s="891"/>
      <c r="E80" s="224" t="s">
        <v>2506</v>
      </c>
      <c r="F80" s="872"/>
      <c r="G80" s="224" t="s">
        <v>2506</v>
      </c>
      <c r="H80" s="872"/>
      <c r="I80" s="166"/>
      <c r="J80" s="892"/>
      <c r="K80" s="225" t="s">
        <v>2497</v>
      </c>
      <c r="L80" s="872"/>
      <c r="M80" s="166"/>
      <c r="N80" s="892"/>
      <c r="O80" s="225" t="s">
        <v>2497</v>
      </c>
      <c r="P80" s="872"/>
      <c r="Q80" s="874"/>
    </row>
    <row r="81" spans="1:17">
      <c r="A81" s="75"/>
      <c r="B81" s="75"/>
      <c r="C81" s="75"/>
      <c r="D81" s="891"/>
      <c r="E81" s="224" t="s">
        <v>2506</v>
      </c>
      <c r="F81" s="872"/>
      <c r="G81" s="224" t="s">
        <v>2506</v>
      </c>
      <c r="H81" s="872"/>
      <c r="I81" s="166"/>
      <c r="J81" s="892"/>
      <c r="K81" s="225" t="s">
        <v>2497</v>
      </c>
      <c r="L81" s="872"/>
      <c r="M81" s="166"/>
      <c r="N81" s="892"/>
      <c r="O81" s="225" t="s">
        <v>2497</v>
      </c>
      <c r="P81" s="872"/>
      <c r="Q81" s="874"/>
    </row>
    <row r="82" spans="1:17">
      <c r="A82" s="75"/>
      <c r="B82" s="75"/>
      <c r="C82" s="75"/>
      <c r="D82" s="891"/>
      <c r="E82" s="224" t="s">
        <v>2506</v>
      </c>
      <c r="F82" s="872"/>
      <c r="G82" s="224" t="s">
        <v>2506</v>
      </c>
      <c r="H82" s="872"/>
      <c r="I82" s="166"/>
      <c r="J82" s="892"/>
      <c r="K82" s="225" t="s">
        <v>2497</v>
      </c>
      <c r="L82" s="872"/>
      <c r="M82" s="166"/>
      <c r="N82" s="892"/>
      <c r="O82" s="225" t="s">
        <v>2497</v>
      </c>
      <c r="P82" s="872"/>
      <c r="Q82" s="874"/>
    </row>
    <row r="83" spans="1:17">
      <c r="A83" s="75"/>
      <c r="B83" s="75"/>
      <c r="C83" s="75"/>
      <c r="D83" s="891"/>
      <c r="E83" s="224" t="s">
        <v>2506</v>
      </c>
      <c r="F83" s="872"/>
      <c r="G83" s="224" t="s">
        <v>2506</v>
      </c>
      <c r="H83" s="872"/>
      <c r="I83" s="166"/>
      <c r="J83" s="892"/>
      <c r="K83" s="225" t="s">
        <v>2497</v>
      </c>
      <c r="L83" s="872"/>
      <c r="M83" s="166"/>
      <c r="N83" s="892"/>
      <c r="O83" s="225" t="s">
        <v>2497</v>
      </c>
      <c r="P83" s="872"/>
      <c r="Q83" s="874"/>
    </row>
    <row r="84" spans="1:17">
      <c r="A84" s="75"/>
      <c r="B84" s="75"/>
      <c r="C84" s="75"/>
      <c r="D84" s="891"/>
      <c r="E84" s="224" t="s">
        <v>2506</v>
      </c>
      <c r="F84" s="872"/>
      <c r="G84" s="224" t="s">
        <v>2506</v>
      </c>
      <c r="H84" s="872"/>
      <c r="I84" s="166"/>
      <c r="J84" s="892"/>
      <c r="K84" s="225" t="s">
        <v>2497</v>
      </c>
      <c r="L84" s="872"/>
      <c r="M84" s="166"/>
      <c r="N84" s="892"/>
      <c r="O84" s="225" t="s">
        <v>2497</v>
      </c>
      <c r="P84" s="872"/>
      <c r="Q84" s="874"/>
    </row>
    <row r="85" spans="1:17">
      <c r="A85" s="75"/>
      <c r="B85" s="75"/>
      <c r="C85" s="75"/>
      <c r="D85" s="891"/>
      <c r="E85" s="224" t="s">
        <v>2506</v>
      </c>
      <c r="F85" s="872"/>
      <c r="G85" s="224" t="s">
        <v>2506</v>
      </c>
      <c r="H85" s="872"/>
      <c r="I85" s="166"/>
      <c r="J85" s="892"/>
      <c r="K85" s="225" t="s">
        <v>2497</v>
      </c>
      <c r="L85" s="872"/>
      <c r="M85" s="166"/>
      <c r="N85" s="892"/>
      <c r="O85" s="225" t="s">
        <v>2497</v>
      </c>
      <c r="P85" s="872"/>
      <c r="Q85" s="874"/>
    </row>
    <row r="86" spans="1:17">
      <c r="A86" s="75"/>
      <c r="B86" s="75"/>
      <c r="C86" s="75"/>
      <c r="D86" s="891"/>
      <c r="E86" s="224" t="s">
        <v>2506</v>
      </c>
      <c r="F86" s="872"/>
      <c r="G86" s="224" t="s">
        <v>2506</v>
      </c>
      <c r="H86" s="872"/>
      <c r="I86" s="166"/>
      <c r="J86" s="892"/>
      <c r="K86" s="225" t="s">
        <v>2497</v>
      </c>
      <c r="L86" s="872"/>
      <c r="M86" s="166"/>
      <c r="N86" s="892"/>
      <c r="O86" s="225" t="s">
        <v>2497</v>
      </c>
      <c r="P86" s="872"/>
      <c r="Q86" s="874"/>
    </row>
    <row r="87" spans="1:17">
      <c r="A87" s="75"/>
      <c r="B87" s="75"/>
      <c r="C87" s="75"/>
      <c r="D87" s="891"/>
      <c r="E87" s="224" t="s">
        <v>2506</v>
      </c>
      <c r="F87" s="872"/>
      <c r="G87" s="224" t="s">
        <v>2506</v>
      </c>
      <c r="H87" s="872"/>
      <c r="I87" s="166"/>
      <c r="J87" s="892"/>
      <c r="K87" s="225" t="s">
        <v>2497</v>
      </c>
      <c r="L87" s="872"/>
      <c r="M87" s="166"/>
      <c r="N87" s="892"/>
      <c r="O87" s="225" t="s">
        <v>2497</v>
      </c>
      <c r="P87" s="872"/>
      <c r="Q87" s="874"/>
    </row>
    <row r="88" spans="1:17">
      <c r="A88" s="75"/>
      <c r="B88" s="75"/>
      <c r="C88" s="75"/>
      <c r="D88" s="891"/>
      <c r="E88" s="224" t="s">
        <v>2506</v>
      </c>
      <c r="F88" s="872"/>
      <c r="G88" s="224" t="s">
        <v>2506</v>
      </c>
      <c r="H88" s="872"/>
      <c r="I88" s="166"/>
      <c r="J88" s="892"/>
      <c r="K88" s="225" t="s">
        <v>2497</v>
      </c>
      <c r="L88" s="872"/>
      <c r="M88" s="166"/>
      <c r="N88" s="892"/>
      <c r="O88" s="225" t="s">
        <v>2497</v>
      </c>
      <c r="P88" s="872"/>
      <c r="Q88" s="874"/>
    </row>
    <row r="89" spans="1:17">
      <c r="A89" s="75"/>
      <c r="B89" s="75"/>
      <c r="C89" s="75"/>
      <c r="D89" s="891"/>
      <c r="E89" s="224" t="s">
        <v>2506</v>
      </c>
      <c r="F89" s="872"/>
      <c r="G89" s="224" t="s">
        <v>2506</v>
      </c>
      <c r="H89" s="872"/>
      <c r="I89" s="166"/>
      <c r="J89" s="892"/>
      <c r="K89" s="225" t="s">
        <v>2497</v>
      </c>
      <c r="L89" s="872"/>
      <c r="M89" s="166"/>
      <c r="N89" s="892"/>
      <c r="O89" s="225" t="s">
        <v>2497</v>
      </c>
      <c r="P89" s="872"/>
      <c r="Q89" s="874"/>
    </row>
    <row r="90" spans="1:17">
      <c r="A90" s="75"/>
      <c r="B90" s="75"/>
      <c r="C90" s="75"/>
      <c r="D90" s="891"/>
      <c r="E90" s="224" t="s">
        <v>2506</v>
      </c>
      <c r="F90" s="872"/>
      <c r="G90" s="224" t="s">
        <v>2506</v>
      </c>
      <c r="H90" s="872"/>
      <c r="I90" s="166"/>
      <c r="J90" s="892"/>
      <c r="K90" s="225" t="s">
        <v>2497</v>
      </c>
      <c r="L90" s="872"/>
      <c r="M90" s="166"/>
      <c r="N90" s="892"/>
      <c r="O90" s="225" t="s">
        <v>2497</v>
      </c>
      <c r="P90" s="872"/>
      <c r="Q90" s="874"/>
    </row>
    <row r="91" spans="1:17">
      <c r="A91" s="75"/>
      <c r="B91" s="75"/>
      <c r="C91" s="75"/>
      <c r="D91" s="891"/>
      <c r="E91" s="224" t="s">
        <v>2506</v>
      </c>
      <c r="F91" s="860"/>
      <c r="G91" s="224" t="s">
        <v>2506</v>
      </c>
      <c r="H91" s="872"/>
      <c r="I91" s="166"/>
      <c r="J91" s="892"/>
      <c r="K91" s="225" t="s">
        <v>2497</v>
      </c>
      <c r="L91" s="872"/>
      <c r="M91" s="871"/>
      <c r="N91" s="892"/>
      <c r="O91" s="225" t="s">
        <v>2497</v>
      </c>
      <c r="P91" s="872"/>
      <c r="Q91" s="874"/>
    </row>
  </sheetData>
  <mergeCells count="8">
    <mergeCell ref="E78:F78"/>
    <mergeCell ref="G78:H78"/>
    <mergeCell ref="J27:L27"/>
    <mergeCell ref="N27:P27"/>
    <mergeCell ref="E31:F31"/>
    <mergeCell ref="G31:H31"/>
    <mergeCell ref="J74:L74"/>
    <mergeCell ref="N74:P74"/>
  </mergeCells>
  <printOptions horizontalCentered="1" verticalCentered="1" headings="1" gridLines="1"/>
  <pageMargins left="0.78740157480314965" right="0.78740157480314965" top="0.98425196850393704" bottom="0.98425196850393704" header="0.51181102362204722" footer="0.51181102362204722"/>
  <pageSetup paperSize="9" scale="9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5"/>
  <dimension ref="A1:AJ205"/>
  <sheetViews>
    <sheetView workbookViewId="0">
      <selection activeCell="K7" sqref="K7"/>
    </sheetView>
  </sheetViews>
  <sheetFormatPr baseColWidth="10" defaultRowHeight="12.75"/>
  <cols>
    <col min="1" max="1" width="7.85546875" customWidth="1"/>
    <col min="2" max="2" width="35.5703125" style="57" customWidth="1"/>
    <col min="3" max="3" width="26.5703125" style="897" customWidth="1"/>
    <col min="4" max="4" width="10.28515625" style="57" customWidth="1"/>
    <col min="5" max="5" width="6.5703125" style="57" customWidth="1"/>
    <col min="6" max="6" width="33" customWidth="1"/>
    <col min="7" max="7" width="28.28515625" customWidth="1"/>
    <col min="8" max="8" width="10.140625" customWidth="1"/>
    <col min="9" max="9" width="3.7109375" customWidth="1"/>
    <col min="10" max="10" width="33.140625" customWidth="1"/>
    <col min="11" max="11" width="28.7109375" customWidth="1"/>
    <col min="12" max="12" width="10.7109375" customWidth="1"/>
    <col min="13" max="13" width="3.140625" customWidth="1"/>
    <col min="14" max="14" width="20.7109375" style="1" customWidth="1"/>
    <col min="15" max="17" width="11.42578125" style="1"/>
    <col min="18" max="18" width="4.85546875" style="1" customWidth="1"/>
    <col min="19" max="19" width="4" style="1" customWidth="1"/>
    <col min="20" max="20" width="19.85546875" style="1" customWidth="1"/>
    <col min="21" max="24" width="11.42578125" style="1"/>
    <col min="25" max="25" width="4" style="1" customWidth="1"/>
    <col min="26" max="26" width="21.140625" style="1" customWidth="1"/>
    <col min="27" max="29" width="11.42578125" style="1"/>
    <col min="30" max="30" width="3.42578125" style="1" customWidth="1"/>
    <col min="31" max="31" width="3.5703125" style="1" customWidth="1"/>
    <col min="32" max="36" width="11.42578125" style="1"/>
  </cols>
  <sheetData>
    <row r="1" spans="1:30">
      <c r="A1" s="24"/>
      <c r="B1" s="685"/>
      <c r="C1" s="924"/>
      <c r="D1" s="685"/>
      <c r="E1" s="685"/>
      <c r="F1" s="24"/>
      <c r="G1" s="24"/>
      <c r="H1" s="24"/>
      <c r="I1" s="24"/>
      <c r="J1" s="24"/>
      <c r="K1" s="24"/>
      <c r="L1" s="24"/>
      <c r="M1" s="24"/>
      <c r="N1" s="24"/>
    </row>
    <row r="2" spans="1:30">
      <c r="A2" s="24"/>
      <c r="B2" s="925" t="s">
        <v>1670</v>
      </c>
      <c r="C2" s="298" t="s">
        <v>2653</v>
      </c>
      <c r="D2" s="685"/>
      <c r="E2" s="685"/>
      <c r="G2" s="24"/>
      <c r="H2" s="24"/>
      <c r="I2" s="24"/>
      <c r="J2" s="24"/>
      <c r="K2" s="24"/>
      <c r="L2" s="24"/>
      <c r="M2" s="24"/>
      <c r="N2" s="24"/>
    </row>
    <row r="3" spans="1:30">
      <c r="A3" s="24"/>
      <c r="B3" s="926"/>
      <c r="C3" s="926"/>
      <c r="D3" s="685"/>
      <c r="E3" s="685"/>
      <c r="F3" s="512" t="s">
        <v>2657</v>
      </c>
      <c r="G3" s="24"/>
      <c r="H3" s="24"/>
      <c r="I3" s="24"/>
      <c r="J3" s="24"/>
      <c r="K3" s="24"/>
      <c r="L3" s="24"/>
      <c r="M3" s="24"/>
      <c r="N3" s="24"/>
    </row>
    <row r="4" spans="1:30">
      <c r="A4" s="24"/>
      <c r="B4" s="926"/>
      <c r="C4" s="926" t="s">
        <v>2655</v>
      </c>
      <c r="D4" s="685"/>
      <c r="E4" s="685"/>
      <c r="F4" s="24"/>
      <c r="G4" s="24"/>
      <c r="H4" s="24"/>
      <c r="I4" s="24"/>
      <c r="J4" s="24"/>
      <c r="K4" s="24"/>
      <c r="L4" s="24"/>
      <c r="M4" s="24"/>
      <c r="N4" s="24"/>
    </row>
    <row r="5" spans="1:30">
      <c r="A5" s="24"/>
      <c r="B5" s="926"/>
      <c r="C5" s="926"/>
      <c r="D5" s="685"/>
      <c r="E5" s="685"/>
      <c r="F5" s="24"/>
      <c r="G5" s="24"/>
      <c r="H5" s="24"/>
      <c r="I5" s="24"/>
      <c r="J5" s="24"/>
      <c r="K5" s="24"/>
      <c r="L5" s="24"/>
      <c r="M5" s="24"/>
      <c r="N5" s="24"/>
    </row>
    <row r="6" spans="1:30">
      <c r="A6" s="24"/>
      <c r="B6" s="926"/>
      <c r="C6" s="926" t="s">
        <v>2654</v>
      </c>
      <c r="D6" s="685"/>
      <c r="E6" s="685"/>
      <c r="F6" s="65" t="s">
        <v>4500</v>
      </c>
      <c r="G6" s="24"/>
      <c r="H6" s="24"/>
      <c r="I6" s="24"/>
      <c r="J6" s="24"/>
      <c r="K6" s="24"/>
      <c r="L6" s="24"/>
      <c r="M6" s="24"/>
      <c r="N6" s="24"/>
    </row>
    <row r="7" spans="1:30">
      <c r="A7" s="24"/>
      <c r="B7" s="926"/>
      <c r="C7" s="926"/>
      <c r="D7" s="685"/>
      <c r="E7" s="685"/>
      <c r="F7" s="24"/>
      <c r="G7" s="24"/>
      <c r="H7" s="24"/>
      <c r="I7" s="24"/>
      <c r="J7" s="24"/>
      <c r="K7" s="24"/>
      <c r="L7" s="24"/>
      <c r="M7" s="24"/>
      <c r="N7" s="24"/>
    </row>
    <row r="8" spans="1:30">
      <c r="A8" s="24"/>
      <c r="B8" s="926"/>
      <c r="C8" s="926" t="s">
        <v>2656</v>
      </c>
      <c r="D8" s="685"/>
      <c r="E8" s="685"/>
      <c r="G8" s="24"/>
      <c r="H8" s="24"/>
      <c r="I8" s="24"/>
      <c r="J8" s="24"/>
      <c r="K8" s="24"/>
      <c r="L8" s="24"/>
      <c r="M8" s="24"/>
      <c r="N8" s="24"/>
    </row>
    <row r="9" spans="1:30">
      <c r="A9" s="24"/>
      <c r="B9" s="685"/>
      <c r="C9" s="924"/>
      <c r="D9" s="685"/>
      <c r="E9" s="685"/>
      <c r="F9" s="24"/>
      <c r="G9" s="24"/>
      <c r="H9" s="24"/>
      <c r="I9" s="24"/>
      <c r="J9" s="24"/>
      <c r="K9" s="24"/>
      <c r="L9" s="24"/>
      <c r="M9" s="24"/>
      <c r="N9" s="24"/>
    </row>
    <row r="11" spans="1:30" s="1" customFormat="1">
      <c r="A11" s="288"/>
      <c r="B11" s="893" t="s">
        <v>293</v>
      </c>
      <c r="C11" s="894" t="s">
        <v>2526</v>
      </c>
      <c r="D11" s="57"/>
      <c r="E11" s="323"/>
      <c r="F11" s="893" t="s">
        <v>2527</v>
      </c>
      <c r="G11" s="894" t="s">
        <v>2528</v>
      </c>
      <c r="H11"/>
      <c r="I11" s="288"/>
      <c r="J11" s="893" t="s">
        <v>2529</v>
      </c>
      <c r="K11" s="894" t="s">
        <v>2530</v>
      </c>
      <c r="L11"/>
      <c r="M11" s="288"/>
      <c r="P11" s="895"/>
      <c r="V11" s="895"/>
      <c r="AB11" s="895"/>
    </row>
    <row r="12" spans="1:30" s="1" customFormat="1">
      <c r="A12" s="288"/>
      <c r="B12" s="893"/>
      <c r="C12" s="894" t="s">
        <v>2531</v>
      </c>
      <c r="D12" s="57"/>
      <c r="E12" s="323"/>
      <c r="F12" s="893"/>
      <c r="G12" s="896" t="s">
        <v>2532</v>
      </c>
      <c r="H12"/>
      <c r="I12" s="288"/>
      <c r="J12" s="893"/>
      <c r="K12" s="896" t="s">
        <v>2533</v>
      </c>
      <c r="L12"/>
      <c r="M12" s="288"/>
      <c r="P12" s="895"/>
      <c r="V12" s="895"/>
      <c r="AB12" s="895"/>
    </row>
    <row r="13" spans="1:30" s="1" customFormat="1">
      <c r="A13" s="288"/>
      <c r="B13" s="56"/>
      <c r="C13" s="897"/>
      <c r="D13" s="57"/>
      <c r="E13" s="323"/>
      <c r="F13"/>
      <c r="G13"/>
      <c r="H13"/>
      <c r="I13" s="288"/>
      <c r="J13"/>
      <c r="K13"/>
      <c r="L13"/>
      <c r="M13" s="288"/>
    </row>
    <row r="14" spans="1:30" s="1" customFormat="1">
      <c r="A14" s="288"/>
      <c r="B14" s="898" t="s">
        <v>2534</v>
      </c>
      <c r="C14" s="899" t="s">
        <v>2535</v>
      </c>
      <c r="D14" s="57"/>
      <c r="E14" s="323"/>
      <c r="F14" s="898" t="s">
        <v>2534</v>
      </c>
      <c r="G14" s="57" t="s">
        <v>2535</v>
      </c>
      <c r="H14"/>
      <c r="I14" s="288"/>
      <c r="J14" s="898" t="s">
        <v>2534</v>
      </c>
      <c r="K14" s="57" t="s">
        <v>2535</v>
      </c>
      <c r="L14"/>
      <c r="M14" s="288"/>
      <c r="P14" s="165"/>
      <c r="Q14" s="292"/>
      <c r="R14" s="292"/>
      <c r="V14" s="165"/>
      <c r="W14" s="292"/>
      <c r="X14" s="292"/>
      <c r="AB14" s="165"/>
      <c r="AC14" s="292"/>
      <c r="AD14" s="292"/>
    </row>
    <row r="15" spans="1:30" s="1" customFormat="1">
      <c r="A15" s="288"/>
      <c r="B15" s="56"/>
      <c r="C15" s="897"/>
      <c r="D15" s="57"/>
      <c r="E15" s="323"/>
      <c r="F15"/>
      <c r="G15"/>
      <c r="H15"/>
      <c r="I15" s="288"/>
      <c r="J15"/>
      <c r="K15"/>
      <c r="L15"/>
      <c r="M15" s="288"/>
      <c r="P15" s="165"/>
      <c r="Q15" s="292"/>
      <c r="R15" s="292"/>
      <c r="V15" s="165"/>
      <c r="W15" s="292"/>
      <c r="X15" s="292"/>
      <c r="AB15" s="165"/>
      <c r="AC15" s="292"/>
      <c r="AD15" s="292"/>
    </row>
    <row r="16" spans="1:30" s="1" customFormat="1">
      <c r="A16" s="288"/>
      <c r="B16" s="56"/>
      <c r="C16" s="897"/>
      <c r="D16" s="57"/>
      <c r="E16" s="323"/>
      <c r="F16"/>
      <c r="G16"/>
      <c r="H16"/>
      <c r="I16" s="288"/>
      <c r="J16"/>
      <c r="K16"/>
      <c r="L16"/>
      <c r="M16" s="288"/>
      <c r="P16" s="165"/>
      <c r="Q16" s="292"/>
      <c r="R16" s="292"/>
      <c r="V16" s="165"/>
      <c r="W16" s="292"/>
      <c r="X16" s="292"/>
      <c r="AB16" s="165"/>
      <c r="AC16" s="292"/>
      <c r="AD16" s="292"/>
    </row>
    <row r="17" spans="1:30" s="1" customFormat="1">
      <c r="A17" s="288"/>
      <c r="B17" s="496" t="s">
        <v>2536</v>
      </c>
      <c r="C17" s="900">
        <v>200</v>
      </c>
      <c r="D17" s="57"/>
      <c r="E17" s="323"/>
      <c r="F17" s="496" t="s">
        <v>2536</v>
      </c>
      <c r="G17" s="901">
        <f>(1/G22+1)*G18</f>
        <v>100</v>
      </c>
      <c r="H17" s="57"/>
      <c r="I17" s="323"/>
      <c r="J17" s="496" t="s">
        <v>2536</v>
      </c>
      <c r="K17" s="901">
        <f>(1/K22+1)*K18</f>
        <v>100</v>
      </c>
      <c r="L17" s="57"/>
      <c r="M17" s="288"/>
      <c r="P17" s="243"/>
      <c r="Q17" s="292"/>
      <c r="R17" s="292"/>
      <c r="V17" s="243"/>
      <c r="W17" s="292"/>
      <c r="X17" s="292"/>
      <c r="AB17" s="243"/>
      <c r="AC17" s="292"/>
      <c r="AD17" s="292"/>
    </row>
    <row r="18" spans="1:30" s="1" customFormat="1">
      <c r="A18" s="288"/>
      <c r="B18" s="496" t="s">
        <v>1588</v>
      </c>
      <c r="C18" s="900">
        <v>100</v>
      </c>
      <c r="D18" s="57"/>
      <c r="E18" s="323"/>
      <c r="F18" s="496" t="s">
        <v>1588</v>
      </c>
      <c r="G18" s="900">
        <v>50</v>
      </c>
      <c r="H18" s="57"/>
      <c r="I18" s="323"/>
      <c r="J18" s="496" t="s">
        <v>1588</v>
      </c>
      <c r="K18" s="900">
        <v>50</v>
      </c>
      <c r="L18" s="57"/>
      <c r="M18" s="288"/>
      <c r="P18" s="243"/>
      <c r="Q18" s="292"/>
      <c r="R18" s="292"/>
      <c r="V18" s="243"/>
      <c r="W18" s="292"/>
      <c r="X18" s="292"/>
      <c r="AB18" s="243"/>
      <c r="AC18" s="292"/>
      <c r="AD18" s="292"/>
    </row>
    <row r="19" spans="1:30" s="1" customFormat="1">
      <c r="A19" s="288"/>
      <c r="B19" s="496" t="s">
        <v>2537</v>
      </c>
      <c r="C19" s="320">
        <f>C18+C22*C18</f>
        <v>200</v>
      </c>
      <c r="D19" s="57"/>
      <c r="E19" s="902"/>
      <c r="F19" s="496" t="s">
        <v>2537</v>
      </c>
      <c r="G19" s="320">
        <f>G18+G22*G18</f>
        <v>100</v>
      </c>
      <c r="H19" s="57"/>
      <c r="I19" s="902"/>
      <c r="J19" s="496" t="s">
        <v>2537</v>
      </c>
      <c r="K19" s="900">
        <v>100</v>
      </c>
      <c r="L19" s="57"/>
      <c r="M19" s="288"/>
      <c r="P19" s="243"/>
      <c r="Q19" s="373"/>
      <c r="R19" s="632"/>
      <c r="V19" s="243"/>
      <c r="W19" s="373"/>
      <c r="X19" s="632"/>
      <c r="AB19" s="243"/>
      <c r="AC19" s="373"/>
      <c r="AD19" s="632"/>
    </row>
    <row r="20" spans="1:30" s="1" customFormat="1">
      <c r="A20" s="288"/>
      <c r="B20" s="496" t="s">
        <v>2538</v>
      </c>
      <c r="C20" s="900">
        <v>40</v>
      </c>
      <c r="D20" s="57"/>
      <c r="E20" s="323"/>
      <c r="F20" s="496" t="s">
        <v>2538</v>
      </c>
      <c r="G20" s="900">
        <v>40</v>
      </c>
      <c r="H20" s="57"/>
      <c r="I20" s="323"/>
      <c r="J20" s="496" t="s">
        <v>2538</v>
      </c>
      <c r="K20" s="900">
        <v>100</v>
      </c>
      <c r="L20" s="57"/>
      <c r="M20" s="288"/>
      <c r="P20" s="243"/>
      <c r="Q20" s="284"/>
      <c r="R20" s="292"/>
      <c r="V20" s="243"/>
      <c r="W20" s="284"/>
      <c r="X20" s="292"/>
      <c r="AB20" s="243"/>
      <c r="AC20" s="284"/>
      <c r="AD20" s="292"/>
    </row>
    <row r="21" spans="1:30" s="1" customFormat="1">
      <c r="A21" s="288"/>
      <c r="B21" s="496" t="s">
        <v>2539</v>
      </c>
      <c r="C21" s="320">
        <f>C20*C22</f>
        <v>40</v>
      </c>
      <c r="D21" s="57"/>
      <c r="E21" s="323"/>
      <c r="F21" s="496" t="s">
        <v>2539</v>
      </c>
      <c r="G21" s="320">
        <f>G20*G22</f>
        <v>40</v>
      </c>
      <c r="H21" s="57"/>
      <c r="I21" s="323"/>
      <c r="J21" s="496" t="s">
        <v>2539</v>
      </c>
      <c r="K21" s="320">
        <f>K20*K22</f>
        <v>100</v>
      </c>
      <c r="L21" s="57"/>
      <c r="M21" s="288"/>
      <c r="P21" s="165"/>
      <c r="Q21" s="292"/>
      <c r="R21" s="292"/>
      <c r="V21" s="165"/>
      <c r="W21" s="292"/>
      <c r="X21" s="292"/>
      <c r="AB21" s="165"/>
      <c r="AC21" s="292"/>
      <c r="AD21" s="292"/>
    </row>
    <row r="22" spans="1:30" s="1" customFormat="1">
      <c r="A22" s="288"/>
      <c r="B22" s="496" t="s">
        <v>2540</v>
      </c>
      <c r="C22" s="320">
        <f>1/(C26-1)</f>
        <v>1</v>
      </c>
      <c r="D22" s="897" t="str">
        <f>IF(C22&lt;1,"1 zu "&amp;ROUND(C26-1,2),ROUND(1/(C26-1),2)&amp;" zu 1")</f>
        <v>1 zu 1</v>
      </c>
      <c r="E22" s="323"/>
      <c r="F22" s="496" t="s">
        <v>2540</v>
      </c>
      <c r="G22" s="900">
        <v>1</v>
      </c>
      <c r="H22" s="897" t="str">
        <f>IF(G22&lt;1,"1 zu "&amp;ROUND(G26-1,2),ROUND(1/(G26-1),2)&amp;" zu 1")</f>
        <v>1 zu 1</v>
      </c>
      <c r="I22" s="323"/>
      <c r="J22" s="496" t="s">
        <v>2540</v>
      </c>
      <c r="K22" s="901">
        <f>1/(K18/(K19-K18))</f>
        <v>1</v>
      </c>
      <c r="L22" s="903" t="str">
        <f>IF(K22&lt;1,"1 zu "&amp;ROUND(K26-1,2),ROUND(1/(K26-1),2)&amp;" zu 1")</f>
        <v>1 zu 1</v>
      </c>
      <c r="M22" s="288"/>
      <c r="P22" s="165"/>
      <c r="Q22" s="292"/>
      <c r="R22" s="292"/>
      <c r="V22" s="165"/>
      <c r="W22" s="292"/>
      <c r="X22" s="292"/>
      <c r="AB22" s="165"/>
      <c r="AC22" s="292"/>
      <c r="AD22" s="292"/>
    </row>
    <row r="23" spans="1:30" s="1" customFormat="1">
      <c r="A23" s="288"/>
      <c r="B23" s="57"/>
      <c r="C23" s="897"/>
      <c r="D23" s="57"/>
      <c r="E23" s="323"/>
      <c r="F23"/>
      <c r="G23"/>
      <c r="H23"/>
      <c r="I23" s="323"/>
      <c r="J23"/>
      <c r="K23"/>
      <c r="L23"/>
      <c r="M23" s="288"/>
      <c r="P23" s="165"/>
      <c r="Q23" s="292"/>
      <c r="R23" s="292"/>
      <c r="V23" s="165"/>
      <c r="W23" s="292"/>
      <c r="X23" s="292"/>
      <c r="AB23" s="165"/>
      <c r="AC23" s="292"/>
      <c r="AD23" s="292"/>
    </row>
    <row r="24" spans="1:30" s="1" customFormat="1">
      <c r="A24" s="288"/>
      <c r="B24" s="496" t="s">
        <v>2541</v>
      </c>
      <c r="C24" s="897"/>
      <c r="D24" s="57"/>
      <c r="E24" s="323"/>
      <c r="F24" s="496" t="s">
        <v>2541</v>
      </c>
      <c r="G24" s="897"/>
      <c r="H24" s="57"/>
      <c r="I24" s="323"/>
      <c r="J24" s="496" t="s">
        <v>2541</v>
      </c>
      <c r="K24" s="897"/>
      <c r="L24" s="57"/>
      <c r="M24" s="288"/>
      <c r="P24" s="243"/>
      <c r="Q24" s="292"/>
      <c r="R24" s="292"/>
      <c r="V24" s="243"/>
      <c r="W24" s="292"/>
      <c r="X24" s="292"/>
      <c r="AB24" s="243"/>
      <c r="AC24" s="292"/>
      <c r="AD24" s="292"/>
    </row>
    <row r="25" spans="1:30" s="1" customFormat="1">
      <c r="A25" s="288"/>
      <c r="B25" s="56"/>
      <c r="C25" s="897"/>
      <c r="D25" s="57"/>
      <c r="E25" s="323"/>
      <c r="F25" s="56"/>
      <c r="G25" s="897"/>
      <c r="H25" s="57"/>
      <c r="I25" s="323"/>
      <c r="J25" s="56"/>
      <c r="K25" s="897"/>
      <c r="L25" s="57"/>
      <c r="M25" s="288"/>
      <c r="P25" s="165"/>
      <c r="Q25" s="292"/>
      <c r="R25" s="292"/>
      <c r="V25" s="165"/>
      <c r="W25" s="292"/>
      <c r="X25" s="292"/>
      <c r="AB25" s="165"/>
      <c r="AC25" s="292"/>
      <c r="AD25" s="292"/>
    </row>
    <row r="26" spans="1:30" s="1" customFormat="1">
      <c r="A26" s="288"/>
      <c r="B26" s="56" t="s">
        <v>2542</v>
      </c>
      <c r="C26" s="897">
        <f>C17/C18</f>
        <v>2</v>
      </c>
      <c r="D26" s="57"/>
      <c r="E26" s="323"/>
      <c r="F26" s="56" t="s">
        <v>2542</v>
      </c>
      <c r="G26" s="897">
        <f>G17/G18</f>
        <v>2</v>
      </c>
      <c r="H26" s="57"/>
      <c r="I26" s="323"/>
      <c r="J26" s="56" t="s">
        <v>2542</v>
      </c>
      <c r="K26" s="897">
        <f>K17/K18</f>
        <v>2</v>
      </c>
      <c r="L26" s="57"/>
      <c r="M26" s="288"/>
      <c r="P26" s="165"/>
      <c r="Q26" s="292"/>
      <c r="R26" s="292"/>
      <c r="V26" s="165"/>
      <c r="W26" s="292"/>
      <c r="X26" s="292"/>
      <c r="AB26" s="165"/>
      <c r="AC26" s="292"/>
      <c r="AD26" s="292"/>
    </row>
    <row r="27" spans="1:30" s="1" customFormat="1">
      <c r="A27" s="288"/>
      <c r="B27" s="56" t="s">
        <v>2543</v>
      </c>
      <c r="C27" s="897" t="str">
        <f>"1 Brennweite + "&amp;ROUND((C26-1),2)&amp;" Brennweiten"</f>
        <v>1 Brennweite + 1 Brennweiten</v>
      </c>
      <c r="D27" s="57"/>
      <c r="E27" s="323"/>
      <c r="F27" s="56" t="s">
        <v>2543</v>
      </c>
      <c r="G27" s="897" t="str">
        <f>"1 Brennweite + "&amp;(G26-1)&amp;" Brennweiten"</f>
        <v>1 Brennweite + 1 Brennweiten</v>
      </c>
      <c r="H27" s="57"/>
      <c r="I27" s="323"/>
      <c r="J27" s="56" t="s">
        <v>2543</v>
      </c>
      <c r="K27" s="897" t="str">
        <f>"1 Brennweite + "&amp;ROUND((K26-1),2)&amp;" Brennweiten"</f>
        <v>1 Brennweite + 1 Brennweiten</v>
      </c>
      <c r="L27" s="57"/>
      <c r="M27" s="288"/>
      <c r="P27" s="165"/>
      <c r="Q27" s="904"/>
      <c r="R27" s="292"/>
      <c r="V27" s="165"/>
      <c r="W27" s="904"/>
      <c r="X27" s="292"/>
      <c r="AB27" s="165"/>
      <c r="AC27" s="904"/>
      <c r="AD27" s="292"/>
    </row>
    <row r="28" spans="1:30" s="1" customFormat="1">
      <c r="A28" s="288"/>
      <c r="B28" s="56"/>
      <c r="C28" s="897"/>
      <c r="D28" s="57"/>
      <c r="E28" s="323"/>
      <c r="F28" s="57"/>
      <c r="G28" s="318"/>
      <c r="H28"/>
      <c r="I28" s="288"/>
      <c r="J28"/>
      <c r="K28"/>
      <c r="L28"/>
      <c r="M28" s="288"/>
    </row>
    <row r="29" spans="1:30" s="288" customFormat="1">
      <c r="B29" s="323"/>
      <c r="C29" s="902"/>
      <c r="D29" s="323"/>
      <c r="E29" s="323"/>
      <c r="G29" s="905"/>
    </row>
    <row r="30" spans="1:30" s="288" customFormat="1">
      <c r="B30" s="323"/>
      <c r="C30" s="902"/>
      <c r="D30" s="323"/>
      <c r="E30" s="323"/>
      <c r="G30" s="905"/>
    </row>
    <row r="31" spans="1:30" s="1" customFormat="1">
      <c r="A31" s="288"/>
      <c r="B31" s="893" t="s">
        <v>2544</v>
      </c>
      <c r="C31" s="894" t="s">
        <v>2545</v>
      </c>
      <c r="D31"/>
      <c r="E31" s="288"/>
      <c r="F31" s="893" t="s">
        <v>2546</v>
      </c>
      <c r="G31" s="894" t="s">
        <v>2547</v>
      </c>
      <c r="H31"/>
      <c r="I31" s="288"/>
      <c r="J31" s="893" t="s">
        <v>2548</v>
      </c>
      <c r="K31" s="894" t="s">
        <v>2549</v>
      </c>
      <c r="L31"/>
      <c r="M31" s="288"/>
    </row>
    <row r="32" spans="1:30" s="1" customFormat="1">
      <c r="A32" s="288"/>
      <c r="B32" s="893"/>
      <c r="C32" s="896" t="s">
        <v>2550</v>
      </c>
      <c r="D32"/>
      <c r="E32" s="288"/>
      <c r="F32" s="893"/>
      <c r="G32" s="896" t="s">
        <v>2551</v>
      </c>
      <c r="H32"/>
      <c r="I32" s="288"/>
      <c r="J32" s="893"/>
      <c r="K32" s="896" t="s">
        <v>2552</v>
      </c>
      <c r="L32"/>
      <c r="M32" s="288"/>
    </row>
    <row r="33" spans="1:13" s="1" customFormat="1">
      <c r="A33" s="288"/>
      <c r="B33"/>
      <c r="C33" s="318"/>
      <c r="D33"/>
      <c r="E33" s="288"/>
      <c r="F33"/>
      <c r="G33" s="318"/>
      <c r="H33"/>
      <c r="I33" s="288"/>
      <c r="J33"/>
      <c r="K33"/>
      <c r="L33"/>
      <c r="M33" s="288"/>
    </row>
    <row r="34" spans="1:13" s="1" customFormat="1">
      <c r="A34" s="288"/>
      <c r="B34" s="898" t="s">
        <v>2534</v>
      </c>
      <c r="C34" s="899" t="s">
        <v>2535</v>
      </c>
      <c r="D34" s="57"/>
      <c r="E34" s="288"/>
      <c r="F34" s="898" t="s">
        <v>2534</v>
      </c>
      <c r="G34" s="899" t="s">
        <v>2535</v>
      </c>
      <c r="H34" s="57"/>
      <c r="I34" s="288"/>
      <c r="J34" s="898" t="s">
        <v>2534</v>
      </c>
      <c r="K34" s="57" t="s">
        <v>2535</v>
      </c>
      <c r="L34" s="57"/>
      <c r="M34" s="288"/>
    </row>
    <row r="35" spans="1:13" s="1" customFormat="1">
      <c r="A35" s="288"/>
      <c r="B35" s="56"/>
      <c r="C35" s="897"/>
      <c r="D35" s="57"/>
      <c r="E35" s="288"/>
      <c r="F35" s="56"/>
      <c r="G35" s="897"/>
      <c r="H35" s="57"/>
      <c r="I35" s="288"/>
      <c r="J35" s="56"/>
      <c r="K35" s="57"/>
      <c r="L35" s="57"/>
      <c r="M35" s="288"/>
    </row>
    <row r="36" spans="1:13" s="1" customFormat="1">
      <c r="A36" s="288"/>
      <c r="B36" s="56"/>
      <c r="C36" s="897"/>
      <c r="D36" s="57"/>
      <c r="E36" s="288"/>
      <c r="F36" s="56"/>
      <c r="G36" s="897"/>
      <c r="H36" s="57"/>
      <c r="I36" s="288"/>
      <c r="J36" s="56"/>
      <c r="K36" s="57"/>
      <c r="L36" s="57"/>
      <c r="M36" s="288"/>
    </row>
    <row r="37" spans="1:13" s="1" customFormat="1">
      <c r="A37" s="288"/>
      <c r="B37" s="496" t="s">
        <v>2536</v>
      </c>
      <c r="C37" s="900">
        <v>200</v>
      </c>
      <c r="D37" s="57"/>
      <c r="E37" s="288"/>
      <c r="F37" s="496" t="s">
        <v>2536</v>
      </c>
      <c r="G37" s="900">
        <v>200</v>
      </c>
      <c r="H37" s="57"/>
      <c r="I37" s="288"/>
      <c r="J37" s="496" t="s">
        <v>2536</v>
      </c>
      <c r="K37" s="901">
        <f>K38+K38*1/K42</f>
        <v>100</v>
      </c>
      <c r="L37" s="57"/>
      <c r="M37" s="288"/>
    </row>
    <row r="38" spans="1:13" s="1" customFormat="1">
      <c r="A38" s="288"/>
      <c r="B38" s="496" t="s">
        <v>1588</v>
      </c>
      <c r="C38" s="901">
        <f>C37/(1+1/C42)</f>
        <v>100</v>
      </c>
      <c r="D38" s="57"/>
      <c r="E38" s="288"/>
      <c r="F38" s="496" t="s">
        <v>1588</v>
      </c>
      <c r="G38" s="901">
        <f>G37/(1+1/G42)</f>
        <v>100</v>
      </c>
      <c r="H38" s="57"/>
      <c r="I38" s="288"/>
      <c r="J38" s="496" t="s">
        <v>1588</v>
      </c>
      <c r="K38" s="901">
        <f>K39/(K42+1)</f>
        <v>50</v>
      </c>
      <c r="L38" s="57"/>
      <c r="M38" s="288"/>
    </row>
    <row r="39" spans="1:13" s="1" customFormat="1">
      <c r="A39" s="288"/>
      <c r="B39" s="496" t="s">
        <v>2537</v>
      </c>
      <c r="C39" s="320">
        <f>C38+C42*C38</f>
        <v>200</v>
      </c>
      <c r="D39" s="57"/>
      <c r="E39" s="288"/>
      <c r="F39" s="496" t="s">
        <v>2537</v>
      </c>
      <c r="G39" s="900">
        <v>200</v>
      </c>
      <c r="H39" s="57"/>
      <c r="I39" s="288"/>
      <c r="J39" s="496" t="s">
        <v>2537</v>
      </c>
      <c r="K39" s="900">
        <v>100</v>
      </c>
      <c r="L39" s="57"/>
      <c r="M39" s="288"/>
    </row>
    <row r="40" spans="1:13" s="1" customFormat="1">
      <c r="A40" s="288"/>
      <c r="B40" s="496" t="s">
        <v>2538</v>
      </c>
      <c r="C40" s="900">
        <v>40</v>
      </c>
      <c r="D40" s="57"/>
      <c r="E40" s="288"/>
      <c r="F40" s="496" t="s">
        <v>2538</v>
      </c>
      <c r="G40" s="900">
        <v>40</v>
      </c>
      <c r="H40" s="57"/>
      <c r="I40" s="288"/>
      <c r="J40" s="496" t="s">
        <v>2538</v>
      </c>
      <c r="K40" s="900">
        <v>40</v>
      </c>
      <c r="L40" s="57"/>
      <c r="M40" s="288"/>
    </row>
    <row r="41" spans="1:13" s="1" customFormat="1">
      <c r="A41" s="288"/>
      <c r="B41" s="496" t="s">
        <v>2539</v>
      </c>
      <c r="C41" s="320">
        <f>C40*C42</f>
        <v>40</v>
      </c>
      <c r="D41" s="57"/>
      <c r="E41" s="288"/>
      <c r="F41" s="496" t="s">
        <v>2539</v>
      </c>
      <c r="G41" s="320">
        <f>G40*G42</f>
        <v>40</v>
      </c>
      <c r="H41" s="57"/>
      <c r="I41" s="288"/>
      <c r="J41" s="496" t="s">
        <v>2539</v>
      </c>
      <c r="K41" s="320">
        <f>K40*K42</f>
        <v>40</v>
      </c>
      <c r="L41" s="57"/>
      <c r="M41" s="288"/>
    </row>
    <row r="42" spans="1:13" s="1" customFormat="1">
      <c r="A42" s="288"/>
      <c r="B42" s="496" t="s">
        <v>2540</v>
      </c>
      <c r="C42" s="900">
        <v>1</v>
      </c>
      <c r="D42" s="897" t="str">
        <f>IF(C42&lt;1,"1 zu "&amp;C46-1,1/(C46-1)&amp;" zu 1")</f>
        <v>1 zu 1</v>
      </c>
      <c r="E42" s="288"/>
      <c r="F42" s="496" t="s">
        <v>2540</v>
      </c>
      <c r="G42" s="901">
        <f>G39/G37</f>
        <v>1</v>
      </c>
      <c r="H42" s="897" t="str">
        <f>IF(G42&lt;1,"1 zu "&amp;ROUND((G46-1),2),ROUND(1/(G46-1),2)&amp;" zu 1")</f>
        <v>1 zu 1</v>
      </c>
      <c r="I42" s="288"/>
      <c r="J42" s="496" t="s">
        <v>2540</v>
      </c>
      <c r="K42" s="900">
        <v>1</v>
      </c>
      <c r="L42" s="897" t="str">
        <f>IF(K42&lt;1,"1 zu "&amp;ROUND((K46-1),2),ROUND(1/(K46-1),2)&amp;" zu 1")</f>
        <v>1 zu 1</v>
      </c>
      <c r="M42" s="288"/>
    </row>
    <row r="43" spans="1:13" s="1" customFormat="1">
      <c r="A43" s="288"/>
      <c r="B43" s="57"/>
      <c r="C43" s="897"/>
      <c r="D43" s="57"/>
      <c r="E43" s="288"/>
      <c r="F43"/>
      <c r="G43"/>
      <c r="H43"/>
      <c r="I43" s="288"/>
      <c r="J43"/>
      <c r="K43"/>
      <c r="L43"/>
      <c r="M43" s="288"/>
    </row>
    <row r="44" spans="1:13" s="1" customFormat="1">
      <c r="A44" s="288"/>
      <c r="B44" s="496" t="s">
        <v>2541</v>
      </c>
      <c r="C44" s="897"/>
      <c r="D44" s="57"/>
      <c r="E44" s="288"/>
      <c r="F44" s="496" t="s">
        <v>2541</v>
      </c>
      <c r="G44" s="897"/>
      <c r="H44" s="57"/>
      <c r="I44" s="288"/>
      <c r="J44" s="496" t="s">
        <v>2541</v>
      </c>
      <c r="K44" s="897"/>
      <c r="L44" s="57"/>
      <c r="M44" s="288"/>
    </row>
    <row r="45" spans="1:13" s="1" customFormat="1">
      <c r="A45" s="288"/>
      <c r="B45" s="56"/>
      <c r="C45" s="897"/>
      <c r="D45" s="57"/>
      <c r="E45" s="288"/>
      <c r="F45" s="56"/>
      <c r="G45" s="897"/>
      <c r="H45" s="57"/>
      <c r="I45" s="288"/>
      <c r="J45" s="56"/>
      <c r="K45" s="897"/>
      <c r="L45" s="57"/>
      <c r="M45" s="288"/>
    </row>
    <row r="46" spans="1:13" s="1" customFormat="1">
      <c r="A46" s="288"/>
      <c r="B46" s="56" t="s">
        <v>2542</v>
      </c>
      <c r="C46" s="320">
        <f>C37/C38</f>
        <v>2</v>
      </c>
      <c r="D46" s="57"/>
      <c r="E46" s="288"/>
      <c r="F46" s="56" t="s">
        <v>2542</v>
      </c>
      <c r="G46" s="320">
        <f>G37/G38</f>
        <v>2</v>
      </c>
      <c r="H46" s="57"/>
      <c r="I46" s="288"/>
      <c r="J46" s="56" t="s">
        <v>2542</v>
      </c>
      <c r="K46" s="320">
        <f>K37/K38</f>
        <v>2</v>
      </c>
      <c r="L46" s="57"/>
      <c r="M46" s="288"/>
    </row>
    <row r="47" spans="1:13" s="1" customFormat="1">
      <c r="A47" s="288"/>
      <c r="B47" s="56" t="s">
        <v>2543</v>
      </c>
      <c r="C47" s="897" t="str">
        <f>"1 Brennweite + "&amp;ROUND((C46-1),2)&amp;" Brennweiten"</f>
        <v>1 Brennweite + 1 Brennweiten</v>
      </c>
      <c r="D47" s="57"/>
      <c r="E47" s="288"/>
      <c r="F47" s="56" t="s">
        <v>2543</v>
      </c>
      <c r="G47" s="897" t="str">
        <f>"1 Brennweite + "&amp;ROUND((G46-1),2)&amp;" Brennweiten"</f>
        <v>1 Brennweite + 1 Brennweiten</v>
      </c>
      <c r="H47" s="57"/>
      <c r="I47" s="288"/>
      <c r="J47" s="56" t="s">
        <v>2543</v>
      </c>
      <c r="K47" s="897" t="str">
        <f>"1 Brennweite + "&amp;ROUND((K46-1),2)&amp;" Brennweiten"</f>
        <v>1 Brennweite + 1 Brennweiten</v>
      </c>
      <c r="L47" s="57"/>
      <c r="M47" s="288"/>
    </row>
    <row r="48" spans="1:13" s="1" customFormat="1">
      <c r="A48" s="288"/>
      <c r="B48"/>
      <c r="C48" s="318"/>
      <c r="D48"/>
      <c r="E48" s="288"/>
      <c r="F48"/>
      <c r="G48"/>
      <c r="H48"/>
      <c r="I48" s="288"/>
      <c r="J48"/>
      <c r="K48"/>
      <c r="L48"/>
      <c r="M48" s="288"/>
    </row>
    <row r="49" spans="1:13">
      <c r="A49" s="288"/>
      <c r="B49" s="323"/>
      <c r="C49" s="902"/>
      <c r="D49" s="323"/>
      <c r="E49" s="323"/>
      <c r="F49" s="288"/>
      <c r="G49" s="905"/>
      <c r="H49" s="288"/>
      <c r="I49" s="288"/>
      <c r="J49" s="288"/>
      <c r="K49" s="288"/>
      <c r="L49" s="288"/>
      <c r="M49" s="288"/>
    </row>
    <row r="50" spans="1:13">
      <c r="A50" s="288"/>
      <c r="B50" s="323"/>
      <c r="C50" s="902"/>
      <c r="D50" s="323"/>
      <c r="E50" s="323"/>
      <c r="F50" s="288"/>
      <c r="G50" s="905"/>
      <c r="H50" s="288"/>
      <c r="I50" s="288"/>
      <c r="J50" s="288"/>
      <c r="K50" s="288"/>
      <c r="L50" s="288"/>
      <c r="M50" s="288"/>
    </row>
    <row r="51" spans="1:13">
      <c r="A51" s="288"/>
      <c r="B51" s="893" t="s">
        <v>2583</v>
      </c>
      <c r="C51" s="921" t="s">
        <v>2586</v>
      </c>
      <c r="D51"/>
      <c r="E51" s="288"/>
      <c r="F51" s="893" t="s">
        <v>2584</v>
      </c>
      <c r="G51" s="921" t="s">
        <v>2588</v>
      </c>
      <c r="I51" s="288"/>
      <c r="J51" s="893" t="s">
        <v>2585</v>
      </c>
      <c r="K51" s="921" t="s">
        <v>2588</v>
      </c>
      <c r="M51" s="288"/>
    </row>
    <row r="52" spans="1:13">
      <c r="A52" s="288"/>
      <c r="B52" s="893"/>
      <c r="C52" s="506" t="s">
        <v>2587</v>
      </c>
      <c r="D52"/>
      <c r="E52" s="288"/>
      <c r="F52" s="893"/>
      <c r="G52" s="506" t="s">
        <v>2589</v>
      </c>
      <c r="I52" s="288"/>
      <c r="J52" s="893"/>
      <c r="K52" s="506" t="s">
        <v>2589</v>
      </c>
      <c r="M52" s="288"/>
    </row>
    <row r="53" spans="1:13">
      <c r="A53" s="288"/>
      <c r="B53"/>
      <c r="C53" s="318"/>
      <c r="D53"/>
      <c r="E53" s="288"/>
      <c r="G53" s="318"/>
      <c r="I53" s="288"/>
      <c r="M53" s="288"/>
    </row>
    <row r="54" spans="1:13">
      <c r="A54" s="288"/>
      <c r="B54" s="898" t="s">
        <v>2534</v>
      </c>
      <c r="C54" s="899" t="s">
        <v>2535</v>
      </c>
      <c r="E54" s="288"/>
      <c r="F54" s="898" t="s">
        <v>2534</v>
      </c>
      <c r="G54" s="899" t="s">
        <v>2535</v>
      </c>
      <c r="H54" s="57"/>
      <c r="I54" s="288"/>
      <c r="J54" s="898" t="s">
        <v>2534</v>
      </c>
      <c r="K54" s="57" t="s">
        <v>2535</v>
      </c>
      <c r="L54" s="57"/>
      <c r="M54" s="288"/>
    </row>
    <row r="55" spans="1:13">
      <c r="A55" s="288"/>
      <c r="B55" s="56"/>
      <c r="E55" s="288"/>
      <c r="F55" s="56"/>
      <c r="G55" s="897"/>
      <c r="H55" s="57"/>
      <c r="I55" s="288"/>
      <c r="J55" s="56"/>
      <c r="K55" s="57"/>
      <c r="L55" s="57"/>
      <c r="M55" s="288"/>
    </row>
    <row r="56" spans="1:13">
      <c r="A56" s="288"/>
      <c r="B56" s="56"/>
      <c r="E56" s="288"/>
      <c r="F56" s="56"/>
      <c r="G56" s="897"/>
      <c r="H56" s="57"/>
      <c r="I56" s="288"/>
      <c r="J56" s="56"/>
      <c r="K56" s="57"/>
      <c r="L56" s="57"/>
      <c r="M56" s="288"/>
    </row>
    <row r="57" spans="1:13">
      <c r="A57" s="288"/>
      <c r="B57" s="496" t="s">
        <v>2536</v>
      </c>
      <c r="C57" s="901">
        <f>C58+C58*1/C62</f>
        <v>200</v>
      </c>
      <c r="E57" s="288"/>
      <c r="F57" s="496" t="s">
        <v>2536</v>
      </c>
      <c r="G57" s="901"/>
      <c r="H57" s="57"/>
      <c r="I57" s="288"/>
      <c r="J57" s="496" t="s">
        <v>2536</v>
      </c>
      <c r="K57" s="901"/>
      <c r="L57" s="57"/>
      <c r="M57" s="288"/>
    </row>
    <row r="58" spans="1:13">
      <c r="A58" s="288"/>
      <c r="B58" s="496" t="s">
        <v>1588</v>
      </c>
      <c r="C58" s="901">
        <f>C59/(C62+1)</f>
        <v>100</v>
      </c>
      <c r="E58" s="288"/>
      <c r="F58" s="496" t="s">
        <v>1588</v>
      </c>
      <c r="G58" s="901"/>
      <c r="H58" s="57"/>
      <c r="I58" s="288"/>
      <c r="J58" s="496" t="s">
        <v>1588</v>
      </c>
      <c r="K58" s="901"/>
      <c r="L58" s="57"/>
      <c r="M58" s="288"/>
    </row>
    <row r="59" spans="1:13">
      <c r="A59" s="288"/>
      <c r="B59" s="496" t="s">
        <v>2537</v>
      </c>
      <c r="C59" s="900">
        <v>200</v>
      </c>
      <c r="E59" s="288"/>
      <c r="F59" s="496" t="s">
        <v>2537</v>
      </c>
      <c r="G59" s="901"/>
      <c r="H59" s="57"/>
      <c r="I59" s="288"/>
      <c r="J59" s="496" t="s">
        <v>2537</v>
      </c>
      <c r="K59" s="901"/>
      <c r="L59" s="57"/>
      <c r="M59" s="288"/>
    </row>
    <row r="60" spans="1:13">
      <c r="A60" s="288"/>
      <c r="B60" s="496" t="s">
        <v>2538</v>
      </c>
      <c r="C60" s="900">
        <v>40</v>
      </c>
      <c r="E60" s="288"/>
      <c r="F60" s="496" t="s">
        <v>2538</v>
      </c>
      <c r="G60" s="901"/>
      <c r="H60" s="57"/>
      <c r="I60" s="288"/>
      <c r="J60" s="496" t="s">
        <v>2538</v>
      </c>
      <c r="K60" s="901"/>
      <c r="L60" s="57"/>
      <c r="M60" s="288"/>
    </row>
    <row r="61" spans="1:13">
      <c r="A61" s="288"/>
      <c r="B61" s="496" t="s">
        <v>2539</v>
      </c>
      <c r="C61" s="900">
        <v>40</v>
      </c>
      <c r="E61" s="288"/>
      <c r="F61" s="496" t="s">
        <v>2539</v>
      </c>
      <c r="G61" s="901"/>
      <c r="H61" s="57"/>
      <c r="I61" s="288"/>
      <c r="J61" s="496" t="s">
        <v>2539</v>
      </c>
      <c r="K61" s="901"/>
      <c r="L61" s="57"/>
      <c r="M61" s="288"/>
    </row>
    <row r="62" spans="1:13">
      <c r="A62" s="288"/>
      <c r="B62" s="496" t="s">
        <v>2540</v>
      </c>
      <c r="C62" s="901">
        <f>C61/C60</f>
        <v>1</v>
      </c>
      <c r="D62" s="897" t="str">
        <f>IF(C62&lt;1,"1 zu "&amp;C66-1,ROUND(1/(C66-1),2)&amp;" zu 1")</f>
        <v>1 zu 1</v>
      </c>
      <c r="E62" s="288"/>
      <c r="F62" s="496" t="s">
        <v>2540</v>
      </c>
      <c r="G62" s="901"/>
      <c r="H62" s="897" t="e">
        <f>IF(G62&lt;1,"1 zu "&amp;ROUND((G66-1),2),ROUND(1/(G66-1),2)&amp;" zu 1")</f>
        <v>#DIV/0!</v>
      </c>
      <c r="I62" s="288"/>
      <c r="J62" s="496" t="s">
        <v>2540</v>
      </c>
      <c r="K62" s="901"/>
      <c r="L62" s="897" t="e">
        <f>IF(K62&lt;1,"1 zu "&amp;ROUND((K66-1),2),ROUND(1/(K66-1),2)&amp;" zu 1")</f>
        <v>#DIV/0!</v>
      </c>
      <c r="M62" s="288"/>
    </row>
    <row r="63" spans="1:13">
      <c r="A63" s="288"/>
      <c r="E63" s="288"/>
      <c r="I63" s="288"/>
      <c r="M63" s="288"/>
    </row>
    <row r="64" spans="1:13">
      <c r="A64" s="288"/>
      <c r="B64" s="496" t="s">
        <v>2541</v>
      </c>
      <c r="E64" s="288"/>
      <c r="F64" s="496" t="s">
        <v>2541</v>
      </c>
      <c r="G64" s="897"/>
      <c r="H64" s="57"/>
      <c r="I64" s="288"/>
      <c r="J64" s="496" t="s">
        <v>2541</v>
      </c>
      <c r="K64" s="897"/>
      <c r="L64" s="57"/>
      <c r="M64" s="288"/>
    </row>
    <row r="65" spans="1:13">
      <c r="A65" s="288"/>
      <c r="B65" s="56"/>
      <c r="E65" s="288"/>
      <c r="F65" s="56"/>
      <c r="G65" s="897"/>
      <c r="H65" s="57"/>
      <c r="I65" s="288"/>
      <c r="J65" s="56"/>
      <c r="K65" s="897"/>
      <c r="L65" s="57"/>
      <c r="M65" s="288"/>
    </row>
    <row r="66" spans="1:13">
      <c r="A66" s="288"/>
      <c r="B66" s="56" t="s">
        <v>2542</v>
      </c>
      <c r="C66" s="320">
        <f>C57/C58</f>
        <v>2</v>
      </c>
      <c r="E66" s="288"/>
      <c r="F66" s="56" t="s">
        <v>2542</v>
      </c>
      <c r="G66" s="320" t="e">
        <f>G57/G58</f>
        <v>#DIV/0!</v>
      </c>
      <c r="H66" s="57"/>
      <c r="I66" s="288"/>
      <c r="J66" s="56" t="s">
        <v>2542</v>
      </c>
      <c r="K66" s="320" t="e">
        <f>K57/K58</f>
        <v>#DIV/0!</v>
      </c>
      <c r="L66" s="57"/>
      <c r="M66" s="288"/>
    </row>
    <row r="67" spans="1:13">
      <c r="A67" s="288"/>
      <c r="B67" s="56" t="s">
        <v>2543</v>
      </c>
      <c r="C67" s="897" t="str">
        <f>"1 Brennweite + "&amp;ROUND((C66-1),2)&amp;" Brennweiten"</f>
        <v>1 Brennweite + 1 Brennweiten</v>
      </c>
      <c r="E67" s="288"/>
      <c r="F67" s="56" t="s">
        <v>2543</v>
      </c>
      <c r="G67" s="897" t="e">
        <f>"1 Brennweite + "&amp;ROUND((G66-1),2)&amp;" Brennweiten"</f>
        <v>#DIV/0!</v>
      </c>
      <c r="H67" s="57"/>
      <c r="I67" s="288"/>
      <c r="J67" s="56" t="s">
        <v>2543</v>
      </c>
      <c r="K67" s="897" t="e">
        <f>"1 Brennweite + "&amp;ROUND((K66-1),2)&amp;" Brennweiten"</f>
        <v>#DIV/0!</v>
      </c>
      <c r="L67" s="57"/>
      <c r="M67" s="288"/>
    </row>
    <row r="68" spans="1:13">
      <c r="A68" s="288"/>
      <c r="B68"/>
      <c r="C68" s="318"/>
      <c r="D68"/>
      <c r="E68" s="288"/>
      <c r="I68" s="288"/>
      <c r="M68" s="288"/>
    </row>
    <row r="69" spans="1:13">
      <c r="A69" s="24"/>
      <c r="B69" s="685"/>
      <c r="C69" s="924"/>
      <c r="D69" s="685"/>
      <c r="E69" s="685"/>
      <c r="F69" s="24"/>
      <c r="G69" s="24"/>
      <c r="H69" s="24"/>
      <c r="I69" s="24"/>
      <c r="J69" s="24"/>
      <c r="K69" s="24"/>
      <c r="L69" s="24"/>
      <c r="M69" s="24"/>
    </row>
    <row r="70" spans="1:13">
      <c r="A70" s="24"/>
      <c r="B70" s="685"/>
      <c r="C70" s="924"/>
      <c r="D70" s="685"/>
      <c r="E70" s="685"/>
      <c r="F70" s="24"/>
      <c r="G70" s="24"/>
      <c r="H70" s="24"/>
      <c r="I70" s="24"/>
      <c r="J70" s="24"/>
      <c r="K70" s="24"/>
      <c r="L70" s="24"/>
      <c r="M70" s="24"/>
    </row>
    <row r="71" spans="1:13">
      <c r="A71" s="24"/>
      <c r="B71" s="685"/>
      <c r="C71" s="924"/>
      <c r="D71" s="685"/>
      <c r="E71" s="685"/>
      <c r="F71" s="24"/>
      <c r="G71" s="24"/>
      <c r="H71" s="24"/>
      <c r="I71" s="24"/>
      <c r="J71" s="24"/>
      <c r="K71" s="24"/>
      <c r="L71" s="24"/>
      <c r="M71" s="24"/>
    </row>
    <row r="72" spans="1:13">
      <c r="A72" s="24"/>
      <c r="B72" s="685"/>
      <c r="C72" s="924"/>
      <c r="D72" s="685"/>
      <c r="E72" s="685"/>
      <c r="F72" s="24"/>
      <c r="G72" s="24"/>
      <c r="H72" s="24"/>
      <c r="I72" s="24"/>
      <c r="J72" s="24"/>
      <c r="K72" s="24"/>
      <c r="L72" s="24"/>
      <c r="M72" s="24"/>
    </row>
    <row r="73" spans="1:13">
      <c r="A73" s="24"/>
      <c r="B73" s="24" t="s">
        <v>2590</v>
      </c>
      <c r="C73" s="24"/>
      <c r="D73" s="24"/>
      <c r="E73" s="24"/>
      <c r="F73" s="24"/>
      <c r="G73" s="24"/>
      <c r="H73" s="24"/>
      <c r="I73" s="24"/>
      <c r="J73" s="24"/>
      <c r="K73" s="24"/>
      <c r="L73" s="24"/>
      <c r="M73" s="24"/>
    </row>
    <row r="74" spans="1:13">
      <c r="A74" s="24"/>
      <c r="B74" s="24" t="s">
        <v>2591</v>
      </c>
      <c r="C74" s="24"/>
      <c r="D74" s="24"/>
      <c r="E74" s="24"/>
      <c r="F74" s="24"/>
      <c r="G74" s="24"/>
      <c r="H74" s="24"/>
      <c r="I74" s="24"/>
      <c r="J74" s="24"/>
      <c r="K74" s="24"/>
      <c r="L74" s="24"/>
      <c r="M74" s="24"/>
    </row>
    <row r="75" spans="1:13">
      <c r="A75" s="24"/>
      <c r="B75" s="24" t="s">
        <v>2592</v>
      </c>
      <c r="C75" s="24"/>
      <c r="D75" s="24"/>
      <c r="E75" s="24"/>
      <c r="F75" s="24"/>
      <c r="G75" s="24"/>
      <c r="H75" s="24"/>
      <c r="I75" s="24"/>
      <c r="J75" s="24"/>
      <c r="K75" s="24"/>
      <c r="L75" s="24"/>
      <c r="M75" s="24"/>
    </row>
    <row r="76" spans="1:13">
      <c r="A76" s="24"/>
      <c r="B76" s="24"/>
      <c r="C76" s="24"/>
      <c r="D76" s="24"/>
      <c r="E76" s="24"/>
      <c r="F76" s="24"/>
      <c r="G76" s="24"/>
      <c r="H76" s="24"/>
      <c r="I76" s="24"/>
      <c r="J76" s="24"/>
      <c r="K76" s="24"/>
      <c r="L76" s="24"/>
      <c r="M76" s="24"/>
    </row>
    <row r="77" spans="1:13">
      <c r="A77" s="24"/>
      <c r="B77" s="24"/>
      <c r="C77" s="24"/>
      <c r="D77" s="24"/>
      <c r="E77" s="24"/>
      <c r="F77" s="24"/>
      <c r="G77" s="24"/>
      <c r="H77" s="24"/>
      <c r="I77" s="24"/>
      <c r="J77" s="24"/>
      <c r="K77" s="24"/>
      <c r="L77" s="24"/>
      <c r="M77" s="24"/>
    </row>
    <row r="78" spans="1:13">
      <c r="A78" s="24"/>
      <c r="B78" s="24"/>
      <c r="C78" s="24"/>
      <c r="D78" s="24"/>
      <c r="E78" s="24"/>
      <c r="F78" s="24"/>
      <c r="G78" s="24"/>
      <c r="H78" s="24"/>
      <c r="I78" s="24"/>
      <c r="J78" s="24"/>
      <c r="K78" s="24"/>
      <c r="L78" s="24"/>
      <c r="M78" s="24"/>
    </row>
    <row r="79" spans="1:13">
      <c r="B79" s="56" t="s">
        <v>2593</v>
      </c>
      <c r="C79" s="235">
        <v>36</v>
      </c>
      <c r="D79" t="s">
        <v>344</v>
      </c>
      <c r="E79"/>
      <c r="G79" s="24"/>
    </row>
    <row r="80" spans="1:13">
      <c r="B80" s="56" t="s">
        <v>2594</v>
      </c>
      <c r="C80" s="235">
        <v>1750</v>
      </c>
      <c r="D80" t="s">
        <v>344</v>
      </c>
      <c r="E80"/>
      <c r="G80" s="24"/>
    </row>
    <row r="81" spans="1:7">
      <c r="B81" s="56" t="s">
        <v>1588</v>
      </c>
      <c r="C81" s="235">
        <v>45</v>
      </c>
      <c r="D81" t="s">
        <v>344</v>
      </c>
      <c r="E81"/>
      <c r="G81" s="24"/>
    </row>
    <row r="82" spans="1:7">
      <c r="B82" s="56"/>
      <c r="C82"/>
      <c r="D82"/>
      <c r="E82"/>
      <c r="G82" s="24"/>
    </row>
    <row r="83" spans="1:7">
      <c r="B83" s="56" t="s">
        <v>2595</v>
      </c>
      <c r="C83">
        <f>C79/C80</f>
        <v>2.057142857142857E-2</v>
      </c>
      <c r="D83" s="56" t="str">
        <f>"entspricht 1 zu "</f>
        <v xml:space="preserve">entspricht 1 zu </v>
      </c>
      <c r="E83" s="369">
        <f>1/C83</f>
        <v>48.611111111111114</v>
      </c>
      <c r="G83" s="24"/>
    </row>
    <row r="84" spans="1:7">
      <c r="B84" s="56"/>
      <c r="C84"/>
      <c r="D84"/>
      <c r="E84"/>
      <c r="G84" s="24"/>
    </row>
    <row r="85" spans="1:7">
      <c r="B85" s="56" t="s">
        <v>2597</v>
      </c>
      <c r="C85">
        <f>1+1/C83</f>
        <v>49.611111111111114</v>
      </c>
      <c r="D85"/>
      <c r="E85"/>
      <c r="G85" s="24"/>
    </row>
    <row r="86" spans="1:7">
      <c r="B86" s="56"/>
      <c r="C86"/>
      <c r="D86"/>
      <c r="E86"/>
      <c r="G86" s="24"/>
    </row>
    <row r="87" spans="1:7">
      <c r="B87" s="56" t="s">
        <v>1959</v>
      </c>
      <c r="C87" s="57">
        <f>C81*C85</f>
        <v>2232.5</v>
      </c>
      <c r="D87" t="s">
        <v>344</v>
      </c>
      <c r="E87"/>
      <c r="G87" s="24"/>
    </row>
    <row r="88" spans="1:7">
      <c r="B88" s="56"/>
      <c r="C88"/>
      <c r="D88"/>
      <c r="E88"/>
      <c r="G88" s="24"/>
    </row>
    <row r="89" spans="1:7">
      <c r="B89" s="56"/>
      <c r="C89"/>
      <c r="D89"/>
      <c r="E89"/>
      <c r="G89" s="24"/>
    </row>
    <row r="90" spans="1:7">
      <c r="B90" s="369" t="str">
        <f>"Der Aufnahmeabstand ist "&amp;ROUND(C87,2)&amp;" mm entsprechend " &amp; ROUND(C87/1000,2) &amp; " m."</f>
        <v>Der Aufnahmeabstand ist 2232,5 mm entsprechend 2,23 m.</v>
      </c>
      <c r="C90"/>
      <c r="D90"/>
      <c r="E90"/>
      <c r="G90" s="24"/>
    </row>
    <row r="91" spans="1:7">
      <c r="A91" s="24"/>
      <c r="B91" s="37"/>
      <c r="C91" s="24"/>
      <c r="D91" s="24"/>
      <c r="E91" s="24"/>
      <c r="F91" s="24"/>
      <c r="G91" s="24"/>
    </row>
    <row r="92" spans="1:7">
      <c r="A92" s="24"/>
      <c r="B92" s="62"/>
      <c r="C92" s="24"/>
      <c r="D92" s="24"/>
      <c r="E92" s="24"/>
      <c r="F92" s="24"/>
      <c r="G92" s="24"/>
    </row>
    <row r="93" spans="1:7">
      <c r="A93" s="24"/>
      <c r="B93" s="62"/>
      <c r="C93" s="24"/>
      <c r="D93" s="24"/>
      <c r="E93" s="24"/>
      <c r="F93" s="24"/>
      <c r="G93" s="24"/>
    </row>
    <row r="94" spans="1:7">
      <c r="A94" s="24"/>
      <c r="B94" s="62"/>
      <c r="C94" s="24"/>
      <c r="D94" s="24"/>
      <c r="E94" s="24"/>
      <c r="F94" s="24"/>
      <c r="G94" s="24"/>
    </row>
    <row r="95" spans="1:7">
      <c r="A95" s="24"/>
      <c r="B95" s="62" t="s">
        <v>2598</v>
      </c>
      <c r="C95" s="24"/>
      <c r="D95" s="24"/>
      <c r="E95" s="24"/>
      <c r="F95" s="24"/>
      <c r="G95" s="24"/>
    </row>
    <row r="96" spans="1:7">
      <c r="A96" s="24"/>
      <c r="B96" s="62" t="s">
        <v>2599</v>
      </c>
      <c r="C96" s="24"/>
      <c r="D96" s="24"/>
      <c r="E96" s="24"/>
      <c r="F96" s="24"/>
      <c r="G96" s="24"/>
    </row>
    <row r="97" spans="1:7">
      <c r="A97" s="24"/>
      <c r="B97" s="62" t="s">
        <v>2600</v>
      </c>
      <c r="C97" s="24"/>
      <c r="D97" s="24"/>
      <c r="E97" s="24"/>
      <c r="F97" s="24"/>
      <c r="G97" s="24"/>
    </row>
    <row r="98" spans="1:7">
      <c r="A98" s="24"/>
      <c r="B98" s="37"/>
      <c r="C98" s="24"/>
      <c r="D98" s="24"/>
      <c r="E98" s="24"/>
      <c r="F98" s="24"/>
      <c r="G98" s="24"/>
    </row>
    <row r="99" spans="1:7">
      <c r="B99" s="56" t="s">
        <v>2026</v>
      </c>
      <c r="C99" s="235">
        <v>4200</v>
      </c>
      <c r="D99" t="s">
        <v>212</v>
      </c>
      <c r="E99"/>
      <c r="G99" s="24"/>
    </row>
    <row r="100" spans="1:7">
      <c r="B100" s="56" t="s">
        <v>1773</v>
      </c>
      <c r="C100" s="235">
        <v>15</v>
      </c>
      <c r="D100" t="s">
        <v>212</v>
      </c>
      <c r="E100"/>
      <c r="G100" s="24"/>
    </row>
    <row r="101" spans="1:7">
      <c r="B101" s="56" t="s">
        <v>1959</v>
      </c>
      <c r="C101" s="235">
        <v>7500</v>
      </c>
      <c r="D101" t="s">
        <v>212</v>
      </c>
      <c r="E101"/>
      <c r="G101" s="24"/>
    </row>
    <row r="102" spans="1:7">
      <c r="B102" s="56"/>
      <c r="C102"/>
      <c r="D102"/>
      <c r="E102"/>
      <c r="G102" s="24"/>
    </row>
    <row r="103" spans="1:7">
      <c r="B103" s="56" t="s">
        <v>2601</v>
      </c>
      <c r="C103">
        <f>C101/C100</f>
        <v>500</v>
      </c>
      <c r="D103"/>
      <c r="E103"/>
      <c r="G103" s="24"/>
    </row>
    <row r="104" spans="1:7">
      <c r="B104" s="56" t="s">
        <v>2602</v>
      </c>
      <c r="C104" s="32">
        <v>1</v>
      </c>
      <c r="D104" s="369" t="s">
        <v>2603</v>
      </c>
      <c r="E104" s="369">
        <f>C103-1</f>
        <v>499</v>
      </c>
      <c r="F104" t="s">
        <v>2494</v>
      </c>
      <c r="G104" s="24"/>
    </row>
    <row r="105" spans="1:7">
      <c r="B105" s="56"/>
      <c r="C105"/>
      <c r="D105"/>
      <c r="E105"/>
      <c r="G105" s="24"/>
    </row>
    <row r="106" spans="1:7">
      <c r="B106" s="56" t="s">
        <v>2595</v>
      </c>
      <c r="C106">
        <f>C104/E104</f>
        <v>2.004008016032064E-3</v>
      </c>
      <c r="D106" t="s">
        <v>2596</v>
      </c>
      <c r="E106" s="318"/>
      <c r="F106" s="369">
        <f>1/C106</f>
        <v>499.00000000000006</v>
      </c>
      <c r="G106" s="24"/>
    </row>
    <row r="107" spans="1:7">
      <c r="B107" s="56"/>
      <c r="C107"/>
      <c r="D107"/>
      <c r="E107"/>
      <c r="G107" s="24"/>
    </row>
    <row r="108" spans="1:7">
      <c r="B108" s="56"/>
      <c r="C108"/>
      <c r="D108"/>
      <c r="E108"/>
      <c r="G108" s="24"/>
    </row>
    <row r="109" spans="1:7" ht="13.5" thickBot="1">
      <c r="B109" s="56"/>
      <c r="C109" s="922">
        <v>1</v>
      </c>
      <c r="D109" s="318" t="s">
        <v>1913</v>
      </c>
      <c r="E109" s="922" t="s">
        <v>2498</v>
      </c>
      <c r="G109" s="24"/>
    </row>
    <row r="110" spans="1:7">
      <c r="B110" s="56"/>
      <c r="C110" s="318">
        <f>E104</f>
        <v>499</v>
      </c>
      <c r="D110"/>
      <c r="E110" s="318">
        <f>C99</f>
        <v>4200</v>
      </c>
      <c r="G110" s="24"/>
    </row>
    <row r="111" spans="1:7">
      <c r="B111" s="56"/>
      <c r="C111"/>
      <c r="D111"/>
      <c r="E111"/>
      <c r="G111" s="24"/>
    </row>
    <row r="112" spans="1:7">
      <c r="B112" s="56" t="s">
        <v>2604</v>
      </c>
      <c r="C112" s="58">
        <f>C106*C99</f>
        <v>8.416833667334668</v>
      </c>
      <c r="D112" t="s">
        <v>212</v>
      </c>
      <c r="E112"/>
      <c r="F112" t="s">
        <v>2605</v>
      </c>
      <c r="G112" s="24"/>
    </row>
    <row r="113" spans="1:7">
      <c r="B113" s="56"/>
      <c r="C113"/>
      <c r="D113"/>
      <c r="E113"/>
      <c r="G113" s="24"/>
    </row>
    <row r="114" spans="1:7">
      <c r="B114" s="369" t="str">
        <f>"Das Bild ist " &amp; ROUND(C112,2) &amp; " cm breit, was der Mindestbreite des Chips entspricht."</f>
        <v>Das Bild ist 8,42 cm breit, was der Mindestbreite des Chips entspricht.</v>
      </c>
      <c r="C114"/>
      <c r="D114"/>
      <c r="E114"/>
      <c r="G114" s="24"/>
    </row>
    <row r="115" spans="1:7">
      <c r="A115" s="24"/>
      <c r="B115" s="37"/>
      <c r="C115" s="24"/>
      <c r="D115" s="24"/>
      <c r="E115" s="24"/>
      <c r="F115" s="24"/>
      <c r="G115" s="24"/>
    </row>
    <row r="116" spans="1:7">
      <c r="A116" s="24"/>
      <c r="B116" s="37"/>
      <c r="C116" s="24"/>
      <c r="D116" s="24"/>
      <c r="E116" s="24"/>
      <c r="F116" s="24"/>
      <c r="G116" s="24"/>
    </row>
    <row r="117" spans="1:7">
      <c r="A117" s="24"/>
      <c r="B117" s="37"/>
      <c r="C117" s="24"/>
      <c r="D117" s="24"/>
      <c r="E117" s="24"/>
      <c r="F117" s="24"/>
      <c r="G117" s="24"/>
    </row>
    <row r="118" spans="1:7">
      <c r="A118" s="24"/>
      <c r="B118" s="24"/>
      <c r="C118" s="24"/>
      <c r="D118" s="24"/>
      <c r="E118" s="24"/>
      <c r="F118" s="24"/>
      <c r="G118" s="24"/>
    </row>
    <row r="119" spans="1:7">
      <c r="A119" s="24"/>
      <c r="B119" s="24" t="s">
        <v>2606</v>
      </c>
      <c r="C119" s="24"/>
      <c r="D119" s="24"/>
      <c r="E119" s="24"/>
      <c r="F119" s="24"/>
      <c r="G119" s="24"/>
    </row>
    <row r="120" spans="1:7">
      <c r="A120" s="24"/>
      <c r="B120" s="24" t="s">
        <v>2607</v>
      </c>
      <c r="C120" s="24"/>
      <c r="D120" s="24"/>
      <c r="E120" s="24"/>
      <c r="F120" s="24"/>
      <c r="G120" s="24"/>
    </row>
    <row r="121" spans="1:7">
      <c r="A121" s="24"/>
      <c r="B121" s="24" t="s">
        <v>2608</v>
      </c>
      <c r="C121" s="24"/>
      <c r="D121" s="24"/>
      <c r="E121" s="24"/>
      <c r="F121" s="24"/>
      <c r="G121" s="24"/>
    </row>
    <row r="122" spans="1:7">
      <c r="A122" s="24"/>
      <c r="B122" s="24" t="s">
        <v>2609</v>
      </c>
      <c r="C122" s="24"/>
      <c r="D122" s="24"/>
      <c r="E122" s="24"/>
      <c r="F122" s="24"/>
      <c r="G122" s="24"/>
    </row>
    <row r="123" spans="1:7">
      <c r="A123" s="24"/>
      <c r="B123" s="24"/>
      <c r="C123" s="24"/>
      <c r="D123" s="24"/>
      <c r="E123" s="24"/>
      <c r="F123" s="24"/>
      <c r="G123" s="24"/>
    </row>
    <row r="124" spans="1:7">
      <c r="B124" s="56" t="s">
        <v>2610</v>
      </c>
      <c r="C124" s="235">
        <v>3.6</v>
      </c>
      <c r="D124" t="s">
        <v>212</v>
      </c>
      <c r="E124"/>
      <c r="G124" s="24"/>
    </row>
    <row r="125" spans="1:7">
      <c r="B125" s="56" t="s">
        <v>2611</v>
      </c>
      <c r="C125" s="235">
        <v>1800</v>
      </c>
      <c r="D125" t="s">
        <v>212</v>
      </c>
      <c r="E125"/>
      <c r="G125" s="24"/>
    </row>
    <row r="126" spans="1:7">
      <c r="B126" s="56" t="s">
        <v>2537</v>
      </c>
      <c r="C126" s="235">
        <v>6000</v>
      </c>
      <c r="D126" t="s">
        <v>212</v>
      </c>
      <c r="E126"/>
      <c r="G126" s="24"/>
    </row>
    <row r="127" spans="1:7">
      <c r="B127" s="56"/>
      <c r="C127"/>
      <c r="D127"/>
      <c r="E127"/>
      <c r="G127" s="24"/>
    </row>
    <row r="128" spans="1:7">
      <c r="B128" s="56" t="s">
        <v>2612</v>
      </c>
      <c r="C128">
        <f>C125/C124</f>
        <v>500</v>
      </c>
      <c r="D128" t="s">
        <v>2613</v>
      </c>
      <c r="E128"/>
      <c r="F128" t="str">
        <f>"a' = 1 f  + " &amp; C128 &amp; " f"</f>
        <v>a' = 1 f  + 500 f</v>
      </c>
      <c r="G128" s="24"/>
    </row>
    <row r="129" spans="2:7">
      <c r="B129" s="56"/>
      <c r="C129"/>
      <c r="D129"/>
      <c r="E129"/>
      <c r="G129" s="24"/>
    </row>
    <row r="130" spans="2:7">
      <c r="B130" s="56" t="s">
        <v>2614</v>
      </c>
      <c r="C130">
        <f>C128+1</f>
        <v>501</v>
      </c>
      <c r="D130"/>
      <c r="E130"/>
      <c r="G130" s="24"/>
    </row>
    <row r="131" spans="2:7">
      <c r="B131" s="56"/>
      <c r="C131"/>
      <c r="D131"/>
      <c r="E131"/>
      <c r="G131" s="24"/>
    </row>
    <row r="132" spans="2:7">
      <c r="B132" s="56" t="s">
        <v>1588</v>
      </c>
      <c r="C132" s="57">
        <f>C126/C130</f>
        <v>11.976047904191617</v>
      </c>
      <c r="D132" t="s">
        <v>212</v>
      </c>
      <c r="E132"/>
      <c r="G132" s="24"/>
    </row>
    <row r="133" spans="2:7">
      <c r="B133" s="56"/>
      <c r="C133"/>
      <c r="D133"/>
      <c r="E133"/>
      <c r="G133" s="24"/>
    </row>
    <row r="134" spans="2:7">
      <c r="B134" s="369" t="str">
        <f>"Man muss eine Brennweite von " &amp; ROUND(C132,2) &amp; " cm verwenden."</f>
        <v>Man muss eine Brennweite von 11,98 cm verwenden.</v>
      </c>
      <c r="C134"/>
      <c r="D134"/>
      <c r="E134"/>
      <c r="G134" s="24"/>
    </row>
    <row r="135" spans="2:7">
      <c r="B135" s="56"/>
      <c r="C135"/>
      <c r="D135"/>
      <c r="E135"/>
      <c r="G135" s="24"/>
    </row>
    <row r="136" spans="2:7">
      <c r="B136" s="369" t="s">
        <v>2615</v>
      </c>
      <c r="C136"/>
      <c r="D136"/>
      <c r="E136"/>
      <c r="G136" s="24"/>
    </row>
    <row r="137" spans="2:7">
      <c r="B137" s="56"/>
      <c r="C137"/>
      <c r="D137"/>
      <c r="E137"/>
      <c r="G137" s="24"/>
    </row>
    <row r="138" spans="2:7">
      <c r="B138" s="56" t="s">
        <v>2616</v>
      </c>
      <c r="C138" s="235">
        <v>2.4</v>
      </c>
      <c r="D138" t="s">
        <v>212</v>
      </c>
      <c r="E138"/>
      <c r="G138" s="24"/>
    </row>
    <row r="139" spans="2:7">
      <c r="B139" s="56"/>
      <c r="C139"/>
      <c r="D139"/>
      <c r="E139"/>
      <c r="G139" s="24"/>
    </row>
    <row r="140" spans="2:7">
      <c r="B140" s="56" t="s">
        <v>2617</v>
      </c>
      <c r="C140">
        <f>C138/C124</f>
        <v>0.66666666666666663</v>
      </c>
      <c r="D140"/>
      <c r="E140"/>
      <c r="F140" t="s">
        <v>2618</v>
      </c>
      <c r="G140" s="24"/>
    </row>
    <row r="141" spans="2:7">
      <c r="B141" s="56"/>
      <c r="C141"/>
      <c r="D141"/>
      <c r="E141"/>
      <c r="G141" s="24"/>
    </row>
    <row r="142" spans="2:7">
      <c r="B142" s="56" t="s">
        <v>2619</v>
      </c>
      <c r="C142">
        <f>C125*C140</f>
        <v>1200</v>
      </c>
      <c r="D142" t="s">
        <v>212</v>
      </c>
      <c r="E142"/>
      <c r="G142" s="24"/>
    </row>
    <row r="143" spans="2:7">
      <c r="B143" s="56"/>
      <c r="C143"/>
      <c r="D143"/>
      <c r="E143"/>
      <c r="G143" s="24"/>
    </row>
    <row r="144" spans="2:7">
      <c r="B144" s="369" t="str">
        <f>"Die Leinwand muss eine Höhe von " &amp; ROUND(C142,2) &amp; " cm haben."</f>
        <v>Die Leinwand muss eine Höhe von 1200 cm haben.</v>
      </c>
      <c r="C144"/>
      <c r="D144"/>
      <c r="E144"/>
      <c r="G144" s="24"/>
    </row>
    <row r="145" spans="1:7">
      <c r="A145" s="24"/>
      <c r="B145" s="685"/>
      <c r="C145" s="924"/>
      <c r="D145" s="685"/>
      <c r="E145" s="685"/>
      <c r="F145" s="24"/>
      <c r="G145" s="24"/>
    </row>
    <row r="146" spans="1:7">
      <c r="A146" s="24"/>
      <c r="B146" s="685"/>
      <c r="C146" s="924"/>
      <c r="D146" s="685"/>
      <c r="E146" s="685"/>
      <c r="F146" s="24"/>
      <c r="G146" s="24"/>
    </row>
    <row r="147" spans="1:7">
      <c r="A147" s="24"/>
      <c r="B147" s="685"/>
      <c r="C147" s="924"/>
      <c r="D147" s="685"/>
      <c r="E147" s="685"/>
      <c r="F147" s="24"/>
      <c r="G147" s="24"/>
    </row>
    <row r="148" spans="1:7">
      <c r="A148" s="24"/>
      <c r="B148" s="685"/>
      <c r="C148" s="924"/>
      <c r="D148" s="685"/>
      <c r="E148" s="685"/>
      <c r="F148" s="24"/>
      <c r="G148" s="24"/>
    </row>
    <row r="149" spans="1:7">
      <c r="A149" s="24"/>
      <c r="B149" s="62" t="s">
        <v>2620</v>
      </c>
      <c r="C149" s="24"/>
      <c r="D149" s="24"/>
      <c r="E149" s="24"/>
      <c r="F149" s="24"/>
      <c r="G149" s="24"/>
    </row>
    <row r="150" spans="1:7">
      <c r="A150" s="24"/>
      <c r="B150" s="24" t="s">
        <v>2621</v>
      </c>
      <c r="C150" s="24"/>
      <c r="D150" s="24"/>
      <c r="E150" s="24"/>
      <c r="F150" s="24"/>
      <c r="G150" s="24"/>
    </row>
    <row r="151" spans="1:7">
      <c r="A151" s="24"/>
      <c r="B151" s="24" t="s">
        <v>2622</v>
      </c>
      <c r="C151" s="24"/>
      <c r="D151" s="24"/>
      <c r="E151" s="24"/>
      <c r="F151" s="24"/>
      <c r="G151" s="24"/>
    </row>
    <row r="152" spans="1:7">
      <c r="A152" s="24"/>
      <c r="B152" s="24" t="s">
        <v>2623</v>
      </c>
      <c r="C152" s="24"/>
      <c r="D152" s="24"/>
      <c r="E152" s="24"/>
      <c r="F152" s="24"/>
      <c r="G152" s="24"/>
    </row>
    <row r="153" spans="1:7">
      <c r="A153" s="24"/>
      <c r="B153" s="24" t="s">
        <v>2624</v>
      </c>
      <c r="C153" s="24"/>
      <c r="D153" s="24"/>
      <c r="E153" s="24"/>
      <c r="F153" s="24"/>
      <c r="G153" s="24"/>
    </row>
    <row r="154" spans="1:7">
      <c r="A154" s="24"/>
      <c r="B154" s="24" t="s">
        <v>2625</v>
      </c>
      <c r="C154" s="24"/>
      <c r="D154" s="24"/>
      <c r="E154" s="24"/>
      <c r="F154" s="24"/>
      <c r="G154" s="24"/>
    </row>
    <row r="155" spans="1:7">
      <c r="B155"/>
      <c r="C155"/>
      <c r="D155"/>
      <c r="E155"/>
      <c r="G155" s="24"/>
    </row>
    <row r="156" spans="1:7">
      <c r="B156" s="56" t="s">
        <v>2537</v>
      </c>
      <c r="C156" s="326">
        <v>42</v>
      </c>
      <c r="D156" t="s">
        <v>212</v>
      </c>
      <c r="E156"/>
      <c r="G156" s="24"/>
    </row>
    <row r="157" spans="1:7">
      <c r="B157" s="56" t="s">
        <v>1588</v>
      </c>
      <c r="C157" s="326">
        <v>15</v>
      </c>
      <c r="D157" t="s">
        <v>212</v>
      </c>
      <c r="E157"/>
      <c r="G157" s="24"/>
    </row>
    <row r="158" spans="1:7">
      <c r="B158" s="56" t="s">
        <v>2594</v>
      </c>
      <c r="C158" s="326">
        <v>20</v>
      </c>
      <c r="D158" t="s">
        <v>212</v>
      </c>
      <c r="E158"/>
      <c r="G158" s="24"/>
    </row>
    <row r="159" spans="1:7">
      <c r="B159" s="56" t="s">
        <v>2626</v>
      </c>
      <c r="C159" s="326">
        <f>1/8</f>
        <v>0.125</v>
      </c>
      <c r="D159" t="s">
        <v>851</v>
      </c>
      <c r="E159"/>
      <c r="G159" s="24"/>
    </row>
    <row r="160" spans="1:7">
      <c r="B160" s="56"/>
      <c r="C160"/>
      <c r="D160"/>
      <c r="E160"/>
      <c r="G160" s="24"/>
    </row>
    <row r="161" spans="2:7">
      <c r="B161" s="56" t="s">
        <v>2627</v>
      </c>
      <c r="C161">
        <f>C156/C157</f>
        <v>2.8</v>
      </c>
      <c r="D161"/>
      <c r="E161" t="str">
        <f>IF(C161=2,"Gleiche Größe",IF(C161&gt;2,"Vergrößerung","Verkleinerung"))</f>
        <v>Vergrößerung</v>
      </c>
      <c r="G161" s="24"/>
    </row>
    <row r="162" spans="2:7">
      <c r="B162" s="56"/>
      <c r="C162"/>
      <c r="D162"/>
      <c r="E162" t="str">
        <f>IF(E161="Vergrößerung","Aufnahmeabstand ist 1 f + Bruchteil von f ",IF(E161="Verkleinerung","Bildweite ist 1 f' + Bruchteil von f' ","Aufnahmeabstand und Bildweite sind gleich groß, 2f"))</f>
        <v xml:space="preserve">Aufnahmeabstand ist 1 f + Bruchteil von f </v>
      </c>
      <c r="G162" s="24"/>
    </row>
    <row r="163" spans="2:7">
      <c r="B163" s="56" t="s">
        <v>2628</v>
      </c>
      <c r="C163">
        <f>C161-1</f>
        <v>1.7999999999999998</v>
      </c>
      <c r="D163"/>
      <c r="E163" t="s">
        <v>2629</v>
      </c>
      <c r="G163" s="24"/>
    </row>
    <row r="164" spans="2:7">
      <c r="B164" s="56"/>
      <c r="C164"/>
      <c r="D164"/>
      <c r="E164"/>
      <c r="G164" s="24"/>
    </row>
    <row r="165" spans="2:7">
      <c r="B165" s="56" t="s">
        <v>2595</v>
      </c>
      <c r="C165">
        <f>C163/1</f>
        <v>1.7999999999999998</v>
      </c>
      <c r="D165"/>
      <c r="E165" t="str">
        <f>IF(E161="Verkleinerung","1 zu " &amp; ROUND(1/C165,4), ROUND(C165,4) &amp; " zu 1")</f>
        <v>1,8 zu 1</v>
      </c>
      <c r="G165" s="24"/>
    </row>
    <row r="166" spans="2:7">
      <c r="B166" s="56"/>
      <c r="C166"/>
      <c r="D166"/>
      <c r="E166"/>
      <c r="G166" s="24"/>
    </row>
    <row r="167" spans="2:7">
      <c r="B167" s="56" t="s">
        <v>2630</v>
      </c>
      <c r="C167">
        <f>C158*C165</f>
        <v>36</v>
      </c>
      <c r="D167" t="s">
        <v>212</v>
      </c>
      <c r="E167" t="s">
        <v>2631</v>
      </c>
      <c r="G167" s="24"/>
    </row>
    <row r="168" spans="2:7">
      <c r="B168" s="56"/>
      <c r="C168"/>
      <c r="D168"/>
      <c r="E168"/>
      <c r="G168" s="24"/>
    </row>
    <row r="169" spans="2:7">
      <c r="B169" s="56" t="s">
        <v>2632</v>
      </c>
      <c r="C169" s="57">
        <f>C157+C157*1/C165</f>
        <v>23.333333333333336</v>
      </c>
      <c r="D169" t="s">
        <v>212</v>
      </c>
      <c r="E169" t="s">
        <v>2633</v>
      </c>
      <c r="G169" s="24"/>
    </row>
    <row r="170" spans="2:7">
      <c r="B170" s="56"/>
      <c r="C170"/>
      <c r="D170"/>
      <c r="E170"/>
      <c r="G170" s="24"/>
    </row>
    <row r="171" spans="2:7">
      <c r="B171" s="56" t="s">
        <v>2634</v>
      </c>
      <c r="C171">
        <f>C157</f>
        <v>15</v>
      </c>
      <c r="D171" t="s">
        <v>212</v>
      </c>
      <c r="E171"/>
      <c r="G171" s="24"/>
    </row>
    <row r="172" spans="2:7">
      <c r="B172" s="56" t="s">
        <v>2635</v>
      </c>
      <c r="C172">
        <f>C156</f>
        <v>42</v>
      </c>
      <c r="D172" t="s">
        <v>212</v>
      </c>
      <c r="E172"/>
      <c r="G172" s="24"/>
    </row>
    <row r="173" spans="2:7">
      <c r="B173" s="56"/>
      <c r="C173"/>
      <c r="D173"/>
      <c r="E173"/>
      <c r="G173" s="24"/>
    </row>
    <row r="174" spans="2:7">
      <c r="B174" s="56" t="s">
        <v>1497</v>
      </c>
      <c r="C174">
        <f>C172/C171</f>
        <v>2.8</v>
      </c>
      <c r="D174"/>
      <c r="E174" t="s">
        <v>2636</v>
      </c>
      <c r="G174" s="24"/>
    </row>
    <row r="175" spans="2:7">
      <c r="B175" s="56" t="s">
        <v>2637</v>
      </c>
      <c r="C175">
        <f>C174^2</f>
        <v>7.839999999999999</v>
      </c>
      <c r="D175"/>
      <c r="E175"/>
      <c r="G175" s="24"/>
    </row>
    <row r="176" spans="2:7">
      <c r="B176"/>
      <c r="C176"/>
      <c r="D176"/>
      <c r="E176"/>
      <c r="G176" s="24"/>
    </row>
    <row r="177" spans="1:7">
      <c r="B177" s="56" t="s">
        <v>2638</v>
      </c>
      <c r="C177">
        <f>C159*C175</f>
        <v>0.97999999999999987</v>
      </c>
      <c r="D177" t="s">
        <v>851</v>
      </c>
      <c r="E177" t="s">
        <v>2639</v>
      </c>
      <c r="G177" s="24"/>
    </row>
    <row r="178" spans="1:7">
      <c r="A178" s="24"/>
      <c r="B178" s="24"/>
      <c r="C178" s="24"/>
      <c r="D178" s="24"/>
      <c r="E178" s="24"/>
      <c r="F178" s="24"/>
      <c r="G178" s="24"/>
    </row>
    <row r="179" spans="1:7">
      <c r="A179" s="24"/>
      <c r="B179" s="24"/>
      <c r="C179" s="24"/>
      <c r="D179" s="24"/>
      <c r="E179" s="24"/>
      <c r="F179" s="24"/>
      <c r="G179" s="24"/>
    </row>
    <row r="180" spans="1:7">
      <c r="A180" s="24"/>
      <c r="B180" s="24"/>
      <c r="C180" s="24"/>
      <c r="D180" s="24"/>
      <c r="E180" s="24"/>
      <c r="F180" s="24"/>
      <c r="G180" s="24"/>
    </row>
    <row r="181" spans="1:7">
      <c r="A181" s="24"/>
      <c r="B181" s="24" t="s">
        <v>2640</v>
      </c>
      <c r="C181" s="24"/>
      <c r="D181" s="24"/>
      <c r="E181" s="24"/>
      <c r="F181" s="24"/>
      <c r="G181" s="24"/>
    </row>
    <row r="182" spans="1:7">
      <c r="A182" s="24"/>
      <c r="B182" s="24" t="s">
        <v>2641</v>
      </c>
      <c r="C182" s="24"/>
      <c r="D182" s="24"/>
      <c r="E182" s="24"/>
      <c r="F182" s="24"/>
      <c r="G182" s="24"/>
    </row>
    <row r="183" spans="1:7">
      <c r="A183" s="24"/>
      <c r="B183" s="24" t="s">
        <v>2642</v>
      </c>
      <c r="C183" s="24"/>
      <c r="D183" s="24"/>
      <c r="E183" s="24"/>
      <c r="F183" s="24"/>
      <c r="G183" s="24"/>
    </row>
    <row r="184" spans="1:7">
      <c r="A184" s="24"/>
      <c r="B184" s="24" t="s">
        <v>2643</v>
      </c>
      <c r="C184" s="24"/>
      <c r="D184" s="24"/>
      <c r="E184" s="24"/>
      <c r="F184" s="24"/>
      <c r="G184" s="24"/>
    </row>
    <row r="185" spans="1:7">
      <c r="A185" s="24"/>
      <c r="B185" s="24" t="s">
        <v>2644</v>
      </c>
      <c r="C185" s="24"/>
      <c r="D185" s="24"/>
      <c r="E185" s="24"/>
      <c r="F185" s="24"/>
      <c r="G185" s="24"/>
    </row>
    <row r="186" spans="1:7">
      <c r="A186" s="24"/>
      <c r="B186" s="24" t="s">
        <v>2645</v>
      </c>
      <c r="C186" s="24"/>
      <c r="D186" s="24"/>
      <c r="E186" s="24"/>
      <c r="F186" s="24"/>
      <c r="G186" s="24"/>
    </row>
    <row r="187" spans="1:7">
      <c r="A187" s="24"/>
      <c r="B187" s="24" t="s">
        <v>2646</v>
      </c>
      <c r="C187" s="24"/>
      <c r="D187" s="24"/>
      <c r="E187" s="24"/>
      <c r="F187" s="24"/>
      <c r="G187" s="24"/>
    </row>
    <row r="188" spans="1:7">
      <c r="A188" s="24"/>
      <c r="B188" s="24"/>
      <c r="C188" s="24"/>
      <c r="D188" s="24"/>
      <c r="E188" s="24"/>
      <c r="F188" s="24"/>
      <c r="G188" s="24"/>
    </row>
    <row r="189" spans="1:7">
      <c r="B189" s="56" t="s">
        <v>2647</v>
      </c>
      <c r="C189" s="326">
        <v>7</v>
      </c>
      <c r="D189" t="s">
        <v>212</v>
      </c>
      <c r="E189"/>
      <c r="G189" s="24"/>
    </row>
    <row r="190" spans="1:7">
      <c r="B190" s="56" t="s">
        <v>526</v>
      </c>
      <c r="C190" s="326">
        <v>49</v>
      </c>
      <c r="D190" t="s">
        <v>212</v>
      </c>
      <c r="E190"/>
      <c r="G190" s="24"/>
    </row>
    <row r="191" spans="1:7">
      <c r="B191" s="56" t="s">
        <v>1773</v>
      </c>
      <c r="C191" s="326">
        <v>8</v>
      </c>
      <c r="D191" t="s">
        <v>212</v>
      </c>
      <c r="E191"/>
      <c r="G191" s="24"/>
    </row>
    <row r="192" spans="1:7">
      <c r="B192" s="56" t="s">
        <v>1354</v>
      </c>
      <c r="C192" s="326">
        <v>27</v>
      </c>
      <c r="D192" t="s">
        <v>853</v>
      </c>
      <c r="E192"/>
      <c r="G192" s="24"/>
    </row>
    <row r="193" spans="2:7">
      <c r="B193" s="56" t="s">
        <v>1361</v>
      </c>
      <c r="C193" s="326">
        <v>81</v>
      </c>
      <c r="D193" t="s">
        <v>853</v>
      </c>
      <c r="E193"/>
      <c r="G193" s="24"/>
    </row>
    <row r="194" spans="2:7">
      <c r="B194"/>
      <c r="C194"/>
      <c r="D194"/>
      <c r="E194"/>
      <c r="G194" s="24"/>
    </row>
    <row r="195" spans="2:7">
      <c r="B195" s="56" t="s">
        <v>2486</v>
      </c>
      <c r="C195">
        <f>C190/C189</f>
        <v>7</v>
      </c>
      <c r="D195"/>
      <c r="E195"/>
      <c r="G195" s="24"/>
    </row>
    <row r="196" spans="2:7">
      <c r="B196" s="56" t="s">
        <v>2648</v>
      </c>
      <c r="C196" s="57">
        <f>C191+C191*1/C195</f>
        <v>9.1428571428571423</v>
      </c>
      <c r="D196" t="s">
        <v>212</v>
      </c>
      <c r="E196"/>
      <c r="G196" s="24"/>
    </row>
    <row r="197" spans="2:7">
      <c r="B197" s="56" t="s">
        <v>2649</v>
      </c>
      <c r="C197" s="57">
        <f>(C195+1)*C191</f>
        <v>64</v>
      </c>
      <c r="D197" t="s">
        <v>212</v>
      </c>
      <c r="E197"/>
      <c r="G197" s="24"/>
    </row>
    <row r="198" spans="2:7">
      <c r="B198" s="56"/>
      <c r="C198"/>
      <c r="D198"/>
      <c r="E198"/>
      <c r="G198" s="24"/>
    </row>
    <row r="199" spans="2:7">
      <c r="B199" s="56" t="s">
        <v>2650</v>
      </c>
      <c r="C199">
        <f>C193/C192</f>
        <v>3</v>
      </c>
      <c r="D199"/>
      <c r="E199"/>
      <c r="G199" s="24"/>
    </row>
    <row r="200" spans="2:7">
      <c r="B200" s="56" t="s">
        <v>2651</v>
      </c>
      <c r="C200" s="58">
        <f>SQRT(C199)</f>
        <v>1.7320508075688772</v>
      </c>
      <c r="D200"/>
      <c r="E200"/>
      <c r="G200" s="24"/>
    </row>
    <row r="201" spans="2:7">
      <c r="B201" s="56" t="s">
        <v>2652</v>
      </c>
      <c r="C201" s="57">
        <f>C190*C200</f>
        <v>84.87048957087498</v>
      </c>
      <c r="D201" t="s">
        <v>212</v>
      </c>
      <c r="E201"/>
      <c r="G201" s="24"/>
    </row>
    <row r="202" spans="2:7">
      <c r="G202" s="24"/>
    </row>
    <row r="203" spans="2:7">
      <c r="G203" s="24"/>
    </row>
    <row r="204" spans="2:7">
      <c r="G204" s="24"/>
    </row>
    <row r="205" spans="2:7">
      <c r="G205" s="24"/>
    </row>
  </sheetData>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B2:AA268"/>
  <sheetViews>
    <sheetView zoomScaleNormal="100" workbookViewId="0">
      <selection activeCell="R23" sqref="R23"/>
    </sheetView>
  </sheetViews>
  <sheetFormatPr baseColWidth="10" defaultColWidth="11.42578125" defaultRowHeight="12.75"/>
  <cols>
    <col min="1" max="1" width="11.42578125" style="831"/>
    <col min="2" max="2" width="27.7109375" style="831" customWidth="1"/>
    <col min="3" max="5" width="11.42578125" style="831"/>
    <col min="6" max="6" width="12.42578125" style="831" bestFit="1" customWidth="1"/>
    <col min="7" max="13" width="11.42578125" style="831"/>
    <col min="14" max="14" width="14.28515625" style="831" customWidth="1"/>
    <col min="15" max="16" width="11.42578125" style="831"/>
    <col min="17" max="17" width="12.42578125" style="831" customWidth="1"/>
    <col min="18" max="16384" width="11.42578125" style="831"/>
  </cols>
  <sheetData>
    <row r="2" spans="2:21">
      <c r="B2" s="1092" t="s">
        <v>3217</v>
      </c>
      <c r="C2" s="1093"/>
      <c r="D2" s="1093"/>
      <c r="E2" s="1093"/>
      <c r="F2" s="1093"/>
      <c r="G2" s="1093"/>
      <c r="H2" s="1093"/>
      <c r="I2" s="1093"/>
      <c r="J2" s="1093"/>
      <c r="K2" s="1093"/>
      <c r="L2" s="1093"/>
      <c r="M2" s="1093"/>
      <c r="N2" s="1093"/>
      <c r="O2" s="1093"/>
      <c r="P2" s="1093"/>
      <c r="Q2" s="1093"/>
      <c r="R2" s="1093"/>
      <c r="S2" s="1093"/>
      <c r="T2" s="1093"/>
      <c r="U2" s="1094"/>
    </row>
    <row r="3" spans="2:21">
      <c r="B3" s="1095" t="s">
        <v>3218</v>
      </c>
      <c r="C3" s="1096"/>
      <c r="D3" s="1096"/>
      <c r="E3" s="1096"/>
      <c r="F3" s="1096"/>
      <c r="G3" s="1096"/>
      <c r="H3" s="1096"/>
      <c r="I3" s="1096"/>
      <c r="J3" s="1096"/>
      <c r="K3" s="1096"/>
      <c r="L3" s="1096"/>
      <c r="M3" s="1096"/>
      <c r="N3" s="1096"/>
      <c r="O3" s="1096"/>
      <c r="P3" s="1096"/>
      <c r="Q3" s="1096"/>
      <c r="R3" s="1096"/>
      <c r="S3" s="1096"/>
      <c r="T3" s="1096"/>
      <c r="U3" s="1097"/>
    </row>
    <row r="4" spans="2:21">
      <c r="B4" s="1098"/>
      <c r="C4" s="1096"/>
      <c r="D4" s="1096"/>
      <c r="E4" s="1096"/>
      <c r="F4" s="1096"/>
      <c r="G4" s="1096"/>
      <c r="H4" s="1096"/>
      <c r="I4" s="1096"/>
      <c r="J4" s="1096"/>
      <c r="K4" s="1096"/>
      <c r="L4" s="1096"/>
      <c r="M4" s="1096"/>
      <c r="N4" s="1096"/>
      <c r="O4" s="1096"/>
      <c r="P4" s="1096"/>
      <c r="Q4" s="1096"/>
      <c r="R4" s="1096"/>
      <c r="S4" s="1096"/>
      <c r="T4" s="1096"/>
      <c r="U4" s="1097"/>
    </row>
    <row r="5" spans="2:21">
      <c r="B5" s="1098"/>
      <c r="C5" s="1096"/>
      <c r="D5" s="1096"/>
      <c r="E5" s="1096"/>
      <c r="F5" s="1096"/>
      <c r="G5" s="1096"/>
      <c r="H5" s="1096"/>
      <c r="I5" s="1096"/>
      <c r="J5" s="1096"/>
      <c r="K5" s="1096"/>
      <c r="L5" s="1096"/>
      <c r="M5" s="1096"/>
      <c r="N5" s="1096"/>
      <c r="O5" s="1096"/>
      <c r="P5" s="1096"/>
      <c r="Q5" s="1096"/>
      <c r="R5" s="1096"/>
      <c r="S5" s="1096"/>
      <c r="T5" s="1096"/>
      <c r="U5" s="1097"/>
    </row>
    <row r="6" spans="2:21">
      <c r="B6" s="1098"/>
      <c r="C6" s="1099">
        <v>1</v>
      </c>
      <c r="D6" s="1099">
        <v>2</v>
      </c>
      <c r="E6" s="1099">
        <v>3</v>
      </c>
      <c r="F6" s="1099">
        <v>4</v>
      </c>
      <c r="G6" s="1099">
        <v>5</v>
      </c>
      <c r="H6" s="1099">
        <v>6</v>
      </c>
      <c r="I6" s="1099">
        <v>7</v>
      </c>
      <c r="J6" s="1099">
        <v>8</v>
      </c>
      <c r="K6" s="1099">
        <v>9</v>
      </c>
      <c r="L6" s="1099">
        <v>10</v>
      </c>
      <c r="M6" s="1099">
        <v>11</v>
      </c>
      <c r="N6" s="1099">
        <v>12</v>
      </c>
      <c r="O6" s="1099">
        <v>13</v>
      </c>
      <c r="P6" s="1099">
        <v>14</v>
      </c>
      <c r="Q6" s="1099">
        <v>15</v>
      </c>
      <c r="R6" s="1099">
        <v>16</v>
      </c>
      <c r="S6" s="1099">
        <v>17</v>
      </c>
      <c r="T6" s="1099">
        <v>18</v>
      </c>
      <c r="U6" s="1100">
        <v>19</v>
      </c>
    </row>
    <row r="7" spans="2:21">
      <c r="B7" s="1101" t="s">
        <v>2662</v>
      </c>
      <c r="C7" s="1102">
        <v>4200</v>
      </c>
      <c r="D7" s="1102">
        <f t="shared" ref="D7:U7" si="0">C7/1.25</f>
        <v>3360</v>
      </c>
      <c r="E7" s="1102">
        <f t="shared" si="0"/>
        <v>2688</v>
      </c>
      <c r="F7" s="1102">
        <f t="shared" si="0"/>
        <v>2150.4</v>
      </c>
      <c r="G7" s="1102">
        <f t="shared" si="0"/>
        <v>1720.3200000000002</v>
      </c>
      <c r="H7" s="1102">
        <f t="shared" si="0"/>
        <v>1376.2560000000001</v>
      </c>
      <c r="I7" s="1102">
        <f t="shared" si="0"/>
        <v>1101.0048000000002</v>
      </c>
      <c r="J7" s="1102">
        <f t="shared" si="0"/>
        <v>880.80384000000015</v>
      </c>
      <c r="K7" s="1102">
        <f t="shared" si="0"/>
        <v>704.64307200000007</v>
      </c>
      <c r="L7" s="1102">
        <f t="shared" si="0"/>
        <v>563.71445760000006</v>
      </c>
      <c r="M7" s="1102">
        <f t="shared" si="0"/>
        <v>450.97156608000006</v>
      </c>
      <c r="N7" s="1102">
        <f t="shared" si="0"/>
        <v>360.77725286400005</v>
      </c>
      <c r="O7" s="1102">
        <f t="shared" si="0"/>
        <v>288.62180229120003</v>
      </c>
      <c r="P7" s="1102">
        <f t="shared" si="0"/>
        <v>230.89744183296003</v>
      </c>
      <c r="Q7" s="1102">
        <f t="shared" si="0"/>
        <v>184.71795346636802</v>
      </c>
      <c r="R7" s="1102">
        <f t="shared" si="0"/>
        <v>147.77436277309442</v>
      </c>
      <c r="S7" s="1102">
        <f t="shared" si="0"/>
        <v>118.21949021847554</v>
      </c>
      <c r="T7" s="1102">
        <f t="shared" si="0"/>
        <v>94.575592174780439</v>
      </c>
      <c r="U7" s="1103">
        <f t="shared" si="0"/>
        <v>75.660473739824354</v>
      </c>
    </row>
    <row r="8" spans="2:21">
      <c r="B8" s="1101" t="s">
        <v>2661</v>
      </c>
      <c r="C8" s="1102">
        <v>75</v>
      </c>
      <c r="D8" s="1102">
        <v>75</v>
      </c>
      <c r="E8" s="1102">
        <v>75</v>
      </c>
      <c r="F8" s="1102">
        <v>75</v>
      </c>
      <c r="G8" s="1102">
        <v>75</v>
      </c>
      <c r="H8" s="1102">
        <v>75</v>
      </c>
      <c r="I8" s="1102">
        <v>75</v>
      </c>
      <c r="J8" s="1102">
        <v>75</v>
      </c>
      <c r="K8" s="1102">
        <v>75</v>
      </c>
      <c r="L8" s="1102">
        <v>75</v>
      </c>
      <c r="M8" s="1102">
        <v>75</v>
      </c>
      <c r="N8" s="1102">
        <v>75</v>
      </c>
      <c r="O8" s="1102">
        <v>75</v>
      </c>
      <c r="P8" s="1102">
        <v>75</v>
      </c>
      <c r="Q8" s="1102">
        <v>75</v>
      </c>
      <c r="R8" s="1102">
        <v>75</v>
      </c>
      <c r="S8" s="1102">
        <v>75</v>
      </c>
      <c r="T8" s="1102">
        <v>75</v>
      </c>
      <c r="U8" s="1103">
        <v>75</v>
      </c>
    </row>
    <row r="9" spans="2:21">
      <c r="B9" s="1104"/>
      <c r="C9" s="1105"/>
      <c r="D9" s="1105"/>
      <c r="E9" s="1105"/>
      <c r="F9" s="1105"/>
      <c r="G9" s="1105"/>
      <c r="H9" s="1105"/>
      <c r="I9" s="1105"/>
      <c r="J9" s="1105"/>
      <c r="K9" s="1105"/>
      <c r="L9" s="1105"/>
      <c r="M9" s="1105"/>
      <c r="N9" s="1105"/>
      <c r="O9" s="1105"/>
      <c r="P9" s="1105"/>
      <c r="Q9" s="1105"/>
      <c r="R9" s="1105"/>
      <c r="S9" s="1105"/>
      <c r="T9" s="1105"/>
      <c r="U9" s="1106"/>
    </row>
    <row r="10" spans="2:21">
      <c r="B10" s="1104" t="s">
        <v>3219</v>
      </c>
      <c r="C10" s="1105">
        <f t="shared" ref="C10:U10" si="1">C7/C8-1</f>
        <v>55</v>
      </c>
      <c r="D10" s="1105">
        <f t="shared" si="1"/>
        <v>43.8</v>
      </c>
      <c r="E10" s="1105">
        <f t="shared" si="1"/>
        <v>34.840000000000003</v>
      </c>
      <c r="F10" s="1105">
        <f t="shared" si="1"/>
        <v>27.672000000000001</v>
      </c>
      <c r="G10" s="1105">
        <f t="shared" si="1"/>
        <v>21.937600000000003</v>
      </c>
      <c r="H10" s="1105">
        <f t="shared" si="1"/>
        <v>17.350080000000002</v>
      </c>
      <c r="I10" s="1105">
        <f t="shared" si="1"/>
        <v>13.680064000000002</v>
      </c>
      <c r="J10" s="1105">
        <f t="shared" si="1"/>
        <v>10.744051200000001</v>
      </c>
      <c r="K10" s="1105">
        <f t="shared" si="1"/>
        <v>8.3952409600000006</v>
      </c>
      <c r="L10" s="1105">
        <f t="shared" si="1"/>
        <v>6.5161927680000007</v>
      </c>
      <c r="M10" s="1105">
        <f t="shared" si="1"/>
        <v>5.0129542144000006</v>
      </c>
      <c r="N10" s="1105">
        <f t="shared" si="1"/>
        <v>3.8103633715200003</v>
      </c>
      <c r="O10" s="1105">
        <f t="shared" si="1"/>
        <v>2.8482906972160005</v>
      </c>
      <c r="P10" s="1105">
        <f t="shared" si="1"/>
        <v>2.0786325577728002</v>
      </c>
      <c r="Q10" s="1105">
        <f t="shared" si="1"/>
        <v>1.4629060462182402</v>
      </c>
      <c r="R10" s="1105">
        <f t="shared" si="1"/>
        <v>0.97032483697459226</v>
      </c>
      <c r="S10" s="1105">
        <f t="shared" si="1"/>
        <v>0.5762598695796739</v>
      </c>
      <c r="T10" s="1105">
        <f t="shared" si="1"/>
        <v>0.26100789566373916</v>
      </c>
      <c r="U10" s="1106">
        <f t="shared" si="1"/>
        <v>8.8063165309912872E-3</v>
      </c>
    </row>
    <row r="11" spans="2:21">
      <c r="B11" s="1104" t="s">
        <v>3207</v>
      </c>
      <c r="C11" s="1107">
        <f t="shared" ref="C11:U11" si="2">C8+C8/(C7/C8-1)</f>
        <v>76.36363636363636</v>
      </c>
      <c r="D11" s="1107">
        <f t="shared" si="2"/>
        <v>76.712328767123282</v>
      </c>
      <c r="E11" s="1107">
        <f t="shared" si="2"/>
        <v>77.152698048220429</v>
      </c>
      <c r="F11" s="1107">
        <f t="shared" si="2"/>
        <v>77.710320901994791</v>
      </c>
      <c r="G11" s="1107">
        <f t="shared" si="2"/>
        <v>78.418787834585373</v>
      </c>
      <c r="H11" s="1107">
        <f t="shared" si="2"/>
        <v>79.322746638632211</v>
      </c>
      <c r="I11" s="1107">
        <f t="shared" si="2"/>
        <v>80.482430491553259</v>
      </c>
      <c r="J11" s="1107">
        <f t="shared" si="2"/>
        <v>81.980607091671345</v>
      </c>
      <c r="K11" s="1107">
        <f t="shared" si="2"/>
        <v>83.933632799504537</v>
      </c>
      <c r="L11" s="1107">
        <f t="shared" si="2"/>
        <v>86.509788410237533</v>
      </c>
      <c r="M11" s="1107">
        <f t="shared" si="2"/>
        <v>89.961237783612347</v>
      </c>
      <c r="N11" s="1107">
        <f t="shared" si="2"/>
        <v>94.6831621258425</v>
      </c>
      <c r="O11" s="1107">
        <f t="shared" si="2"/>
        <v>101.33158198118862</v>
      </c>
      <c r="P11" s="1107">
        <f t="shared" si="2"/>
        <v>111.08141309994707</v>
      </c>
      <c r="Q11" s="1107">
        <f t="shared" si="2"/>
        <v>126.26781736522491</v>
      </c>
      <c r="R11" s="1107">
        <f t="shared" si="2"/>
        <v>152.29370324462164</v>
      </c>
      <c r="S11" s="1107">
        <f t="shared" si="2"/>
        <v>205.14961471237842</v>
      </c>
      <c r="T11" s="1107">
        <f t="shared" si="2"/>
        <v>362.34762911779404</v>
      </c>
      <c r="U11" s="1108">
        <f t="shared" si="2"/>
        <v>8591.6141525868588</v>
      </c>
    </row>
    <row r="12" spans="2:21">
      <c r="B12" s="1104" t="s">
        <v>1702</v>
      </c>
      <c r="C12" s="1107">
        <f t="shared" ref="C12:U12" si="3">(C11/C8)^2</f>
        <v>1.0366942148760327</v>
      </c>
      <c r="D12" s="1107">
        <f t="shared" si="3"/>
        <v>1.0461833573111485</v>
      </c>
      <c r="E12" s="1107">
        <f t="shared" si="3"/>
        <v>1.0582291228657561</v>
      </c>
      <c r="F12" s="1107">
        <f t="shared" si="3"/>
        <v>1.0735811510561795</v>
      </c>
      <c r="G12" s="1107">
        <f t="shared" si="3"/>
        <v>1.0932455618570163</v>
      </c>
      <c r="H12" s="1107">
        <f t="shared" si="3"/>
        <v>1.1185952238749577</v>
      </c>
      <c r="I12" s="1107">
        <f t="shared" si="3"/>
        <v>1.1515416209471472</v>
      </c>
      <c r="J12" s="1107">
        <f t="shared" si="3"/>
        <v>1.1948124336211545</v>
      </c>
      <c r="K12" s="1107">
        <f t="shared" si="3"/>
        <v>1.2524186159861446</v>
      </c>
      <c r="L12" s="1107">
        <f t="shared" si="3"/>
        <v>1.3304788428060568</v>
      </c>
      <c r="M12" s="1107">
        <f t="shared" si="3"/>
        <v>1.4387598761883806</v>
      </c>
      <c r="N12" s="1107">
        <f t="shared" si="3"/>
        <v>1.5937602115819691</v>
      </c>
      <c r="O12" s="1107">
        <f t="shared" si="3"/>
        <v>1.825438134544062</v>
      </c>
      <c r="P12" s="1107">
        <f t="shared" si="3"/>
        <v>2.1936142820055271</v>
      </c>
      <c r="Q12" s="1107">
        <f t="shared" si="3"/>
        <v>2.8344109692760524</v>
      </c>
      <c r="R12" s="1107">
        <f t="shared" si="3"/>
        <v>4.1232661418597116</v>
      </c>
      <c r="S12" s="1107">
        <f t="shared" si="3"/>
        <v>7.4820203407355219</v>
      </c>
      <c r="T12" s="1107">
        <f t="shared" si="3"/>
        <v>23.34147632485092</v>
      </c>
      <c r="U12" s="1108">
        <f t="shared" si="3"/>
        <v>13122.814888343255</v>
      </c>
    </row>
    <row r="13" spans="2:21">
      <c r="B13" s="1104" t="s">
        <v>3220</v>
      </c>
      <c r="C13" s="1107">
        <f t="shared" ref="C13:U13" si="4">LOG(C12,2)/LOG(2,2)</f>
        <v>5.1990417065888583E-2</v>
      </c>
      <c r="D13" s="1107">
        <f t="shared" si="4"/>
        <v>6.5135724912861237E-2</v>
      </c>
      <c r="E13" s="1107">
        <f t="shared" si="4"/>
        <v>8.1652026917479165E-2</v>
      </c>
      <c r="F13" s="1107">
        <f t="shared" si="4"/>
        <v>0.10243124736935218</v>
      </c>
      <c r="G13" s="1107">
        <f t="shared" si="4"/>
        <v>0.12861749166186473</v>
      </c>
      <c r="H13" s="1107">
        <f t="shared" si="4"/>
        <v>0.16168807549815228</v>
      </c>
      <c r="I13" s="1107">
        <f t="shared" si="4"/>
        <v>0.203566556375123</v>
      </c>
      <c r="J13" s="1107">
        <f t="shared" si="4"/>
        <v>0.25678415601062599</v>
      </c>
      <c r="K13" s="1107">
        <f t="shared" si="4"/>
        <v>0.32471685800896505</v>
      </c>
      <c r="L13" s="1107">
        <f t="shared" si="4"/>
        <v>0.41194556889341361</v>
      </c>
      <c r="M13" s="1107">
        <f t="shared" si="4"/>
        <v>0.52482583159232532</v>
      </c>
      <c r="N13" s="1107">
        <f t="shared" si="4"/>
        <v>0.67243458567437875</v>
      </c>
      <c r="O13" s="1107">
        <f t="shared" si="4"/>
        <v>0.86824277559345386</v>
      </c>
      <c r="P13" s="1107">
        <f t="shared" si="4"/>
        <v>1.1333098692419357</v>
      </c>
      <c r="Q13" s="1107">
        <f t="shared" si="4"/>
        <v>1.5030489538632263</v>
      </c>
      <c r="R13" s="1107">
        <f t="shared" si="4"/>
        <v>2.043787584958515</v>
      </c>
      <c r="S13" s="1107">
        <f t="shared" si="4"/>
        <v>2.9034278880269877</v>
      </c>
      <c r="T13" s="1107">
        <f t="shared" si="4"/>
        <v>4.5448239078256467</v>
      </c>
      <c r="U13" s="1108">
        <f t="shared" si="4"/>
        <v>13.679789595684596</v>
      </c>
    </row>
    <row r="14" spans="2:21">
      <c r="B14" s="1109" t="s">
        <v>3087</v>
      </c>
      <c r="C14" s="1110">
        <f t="shared" ref="C14:U14" si="5">1/C12</f>
        <v>0.96460459183673497</v>
      </c>
      <c r="D14" s="1110">
        <f t="shared" si="5"/>
        <v>0.95585538903061229</v>
      </c>
      <c r="E14" s="1110">
        <f t="shared" si="5"/>
        <v>0.94497493821747436</v>
      </c>
      <c r="F14" s="1110">
        <f t="shared" si="5"/>
        <v>0.93146195703623247</v>
      </c>
      <c r="G14" s="1110">
        <f t="shared" si="5"/>
        <v>0.91470757795839863</v>
      </c>
      <c r="H14" s="1110">
        <f t="shared" si="5"/>
        <v>0.89397842817160567</v>
      </c>
      <c r="I14" s="1110">
        <f t="shared" si="5"/>
        <v>0.86840109103264229</v>
      </c>
      <c r="J14" s="1110">
        <f t="shared" si="5"/>
        <v>0.83695145100664003</v>
      </c>
      <c r="K14" s="1110">
        <f t="shared" si="5"/>
        <v>0.79845507503304547</v>
      </c>
      <c r="L14" s="1110">
        <f t="shared" si="5"/>
        <v>0.75160909578309576</v>
      </c>
      <c r="M14" s="1110">
        <f t="shared" si="5"/>
        <v>0.69504301346604092</v>
      </c>
      <c r="N14" s="1110">
        <f t="shared" si="5"/>
        <v>0.62744696017188073</v>
      </c>
      <c r="O14" s="1110">
        <f t="shared" si="5"/>
        <v>0.54781368980755352</v>
      </c>
      <c r="P14" s="1110">
        <f t="shared" si="5"/>
        <v>0.45586865849803959</v>
      </c>
      <c r="Q14" s="1110">
        <f t="shared" si="5"/>
        <v>0.35280698912035813</v>
      </c>
      <c r="R14" s="1110">
        <f t="shared" si="5"/>
        <v>0.24252618327202408</v>
      </c>
      <c r="S14" s="1110">
        <f t="shared" si="5"/>
        <v>0.13365373982686804</v>
      </c>
      <c r="T14" s="1110">
        <f t="shared" si="5"/>
        <v>4.2842191559894272E-2</v>
      </c>
      <c r="U14" s="1111">
        <f t="shared" si="5"/>
        <v>7.6203162851003924E-5</v>
      </c>
    </row>
    <row r="15" spans="2:21">
      <c r="B15" s="830"/>
      <c r="C15" s="1112"/>
      <c r="D15" s="1112"/>
      <c r="E15" s="1112"/>
      <c r="F15" s="1112"/>
      <c r="G15" s="1112"/>
      <c r="H15" s="1112"/>
      <c r="I15" s="1112"/>
      <c r="J15" s="1112"/>
      <c r="K15" s="1112"/>
      <c r="L15" s="1112"/>
      <c r="M15" s="1112"/>
      <c r="N15" s="1112"/>
      <c r="O15" s="1112"/>
      <c r="P15" s="1112"/>
      <c r="Q15" s="1112"/>
      <c r="R15" s="1112"/>
      <c r="S15" s="1112"/>
      <c r="T15" s="1112"/>
      <c r="U15" s="1112"/>
    </row>
    <row r="16" spans="2:21">
      <c r="B16" s="833"/>
    </row>
    <row r="17" spans="2:21">
      <c r="B17" s="830"/>
      <c r="C17" s="1113"/>
      <c r="D17" s="1113"/>
      <c r="E17" s="1113"/>
      <c r="F17" s="1113"/>
      <c r="G17" s="1113"/>
      <c r="H17" s="1113"/>
      <c r="I17" s="1113"/>
      <c r="J17" s="1113"/>
      <c r="K17" s="1113"/>
      <c r="L17" s="1113"/>
      <c r="M17" s="1113"/>
      <c r="N17" s="1113"/>
      <c r="O17" s="1113"/>
      <c r="P17" s="1113"/>
      <c r="Q17" s="1113"/>
      <c r="R17" s="1113"/>
      <c r="S17" s="1113"/>
      <c r="T17" s="1113"/>
      <c r="U17" s="1113"/>
    </row>
    <row r="18" spans="2:21">
      <c r="B18" s="1092" t="s">
        <v>3221</v>
      </c>
      <c r="C18" s="1114"/>
      <c r="D18" s="1114"/>
      <c r="E18" s="1114"/>
      <c r="F18" s="1114"/>
      <c r="G18" s="1115"/>
      <c r="H18" s="960"/>
      <c r="I18" s="960"/>
      <c r="J18" s="960"/>
      <c r="K18" s="960"/>
      <c r="L18" s="960"/>
      <c r="M18" s="960"/>
      <c r="N18" s="960"/>
      <c r="O18" s="960"/>
      <c r="P18" s="960"/>
      <c r="Q18" s="960"/>
      <c r="R18" s="960"/>
      <c r="S18" s="960"/>
      <c r="T18" s="960"/>
      <c r="U18" s="960"/>
    </row>
    <row r="19" spans="2:21">
      <c r="B19" s="1116" t="s">
        <v>3222</v>
      </c>
      <c r="C19" s="1107"/>
      <c r="D19" s="1107"/>
      <c r="E19" s="1107"/>
      <c r="F19" s="1107"/>
      <c r="G19" s="1108"/>
      <c r="H19" s="960"/>
      <c r="I19" s="960"/>
      <c r="J19" s="960"/>
      <c r="K19" s="960"/>
      <c r="L19" s="960"/>
      <c r="M19" s="960"/>
      <c r="N19" s="960"/>
      <c r="O19" s="960"/>
      <c r="P19" s="960"/>
      <c r="Q19" s="960"/>
      <c r="R19" s="960"/>
      <c r="S19" s="960"/>
      <c r="T19" s="960"/>
      <c r="U19" s="960"/>
    </row>
    <row r="20" spans="2:21">
      <c r="B20" s="1104"/>
      <c r="C20" s="1117"/>
      <c r="D20" s="1117"/>
      <c r="E20" s="1117"/>
      <c r="F20" s="1117"/>
      <c r="G20" s="1118"/>
      <c r="H20" s="1112"/>
      <c r="I20" s="1112"/>
      <c r="J20" s="1119" t="s">
        <v>3223</v>
      </c>
      <c r="K20" s="1093"/>
      <c r="L20" s="1093"/>
      <c r="M20" s="1093"/>
      <c r="N20" s="1093"/>
      <c r="O20" s="1093"/>
      <c r="P20" s="1094"/>
    </row>
    <row r="21" spans="2:21">
      <c r="B21" s="1120" t="s">
        <v>3224</v>
      </c>
      <c r="C21" s="1121">
        <v>0.3333333</v>
      </c>
      <c r="D21" s="1096"/>
      <c r="E21" s="1096"/>
      <c r="F21" s="1096"/>
      <c r="G21" s="1097"/>
      <c r="J21" s="1098"/>
      <c r="K21" s="1096"/>
      <c r="L21" s="1096"/>
      <c r="M21" s="1096"/>
      <c r="N21" s="1096"/>
      <c r="O21" s="1096"/>
      <c r="P21" s="1097"/>
    </row>
    <row r="22" spans="2:21">
      <c r="B22" s="1120" t="s">
        <v>2661</v>
      </c>
      <c r="C22" s="1102">
        <v>100</v>
      </c>
      <c r="D22" s="1096"/>
      <c r="E22" s="1096"/>
      <c r="F22" s="1096"/>
      <c r="G22" s="1097"/>
      <c r="J22" s="1098" t="s">
        <v>1737</v>
      </c>
      <c r="K22" s="1096"/>
      <c r="L22" s="1096"/>
      <c r="M22" s="1096"/>
      <c r="N22" s="1122">
        <v>0.33300000000000002</v>
      </c>
      <c r="O22" s="1122">
        <v>2</v>
      </c>
      <c r="P22" s="1123">
        <v>3</v>
      </c>
    </row>
    <row r="23" spans="2:21">
      <c r="B23" s="1098"/>
      <c r="C23" s="1105"/>
      <c r="D23" s="1096"/>
      <c r="E23" s="1096"/>
      <c r="F23" s="1096"/>
      <c r="G23" s="1097"/>
      <c r="J23" s="1098" t="s">
        <v>3225</v>
      </c>
      <c r="K23" s="1096"/>
      <c r="L23" s="1096"/>
      <c r="M23" s="1096"/>
      <c r="N23" s="1096"/>
      <c r="O23" s="1096"/>
      <c r="P23" s="1097"/>
    </row>
    <row r="24" spans="2:21">
      <c r="B24" s="1098" t="s">
        <v>3226</v>
      </c>
      <c r="C24" s="1124">
        <f>2^C21</f>
        <v>1.259921020784516</v>
      </c>
      <c r="D24" s="1096"/>
      <c r="E24" s="1096"/>
      <c r="F24" s="1096"/>
      <c r="G24" s="1097"/>
      <c r="J24" s="1098" t="s">
        <v>3227</v>
      </c>
      <c r="K24" s="1096"/>
      <c r="L24" s="1096"/>
      <c r="M24" s="1096"/>
      <c r="N24" s="1107">
        <f>2^N22</f>
        <v>1.2596299799473993</v>
      </c>
      <c r="O24" s="1107">
        <f>2^O22</f>
        <v>4</v>
      </c>
      <c r="P24" s="1108">
        <f>2^P22</f>
        <v>8</v>
      </c>
    </row>
    <row r="25" spans="2:21">
      <c r="B25" s="1098" t="s">
        <v>3228</v>
      </c>
      <c r="C25" s="1125">
        <f>1/C24</f>
        <v>0.79370054432247605</v>
      </c>
      <c r="D25" s="1096"/>
      <c r="E25" s="1096"/>
      <c r="F25" s="1096"/>
      <c r="G25" s="1097"/>
      <c r="J25" s="1098"/>
      <c r="K25" s="1096"/>
      <c r="L25" s="1096"/>
      <c r="M25" s="1096"/>
      <c r="N25" s="1096"/>
      <c r="O25" s="1096"/>
      <c r="P25" s="1097"/>
    </row>
    <row r="26" spans="2:21">
      <c r="B26" s="1098"/>
      <c r="C26" s="1096"/>
      <c r="D26" s="1096"/>
      <c r="E26" s="1096"/>
      <c r="F26" s="1096"/>
      <c r="G26" s="1097"/>
      <c r="J26" s="1098"/>
      <c r="K26" s="1096"/>
      <c r="L26" s="1096"/>
      <c r="M26" s="1096"/>
      <c r="N26" s="1096"/>
      <c r="O26" s="1096"/>
      <c r="P26" s="1097"/>
    </row>
    <row r="27" spans="2:21">
      <c r="B27" s="1095" t="s">
        <v>3207</v>
      </c>
      <c r="C27" s="1126">
        <f>C22*SQRT(C24)</f>
        <v>112.2462035342183</v>
      </c>
      <c r="D27" s="1127" t="s">
        <v>3229</v>
      </c>
      <c r="E27" s="1096"/>
      <c r="F27" s="1096"/>
      <c r="G27" s="1097"/>
      <c r="J27" s="1098" t="s">
        <v>3225</v>
      </c>
      <c r="K27" s="1096"/>
      <c r="L27" s="1096"/>
      <c r="M27" s="1096"/>
      <c r="N27" s="1122">
        <v>1.26</v>
      </c>
      <c r="O27" s="1122">
        <v>4</v>
      </c>
      <c r="P27" s="1123">
        <v>8</v>
      </c>
    </row>
    <row r="28" spans="2:21">
      <c r="B28" s="1095" t="s">
        <v>3230</v>
      </c>
      <c r="C28" s="1126">
        <f>C22+C22*1/((C27-C22)/C22)</f>
        <v>916.57960134812697</v>
      </c>
      <c r="D28" s="1107">
        <f>C22+C22^2/(C27-C22)</f>
        <v>916.57960134812697</v>
      </c>
      <c r="E28" s="1107">
        <f>C22*(1+C22/(C27-C22))</f>
        <v>916.57960134812697</v>
      </c>
      <c r="F28" s="1096"/>
      <c r="G28" s="1097"/>
      <c r="J28" s="1098" t="s">
        <v>3231</v>
      </c>
      <c r="K28" s="1096"/>
      <c r="L28" s="1096"/>
      <c r="M28" s="1096"/>
      <c r="N28" s="1096"/>
      <c r="O28" s="1096"/>
      <c r="P28" s="1097"/>
    </row>
    <row r="29" spans="2:21">
      <c r="B29" s="1095" t="s">
        <v>3219</v>
      </c>
      <c r="C29" s="1126">
        <f>C28/C27</f>
        <v>8.1657960134812697</v>
      </c>
      <c r="D29" s="1107">
        <f>(C28-C22)/C22</f>
        <v>8.1657960134812697</v>
      </c>
      <c r="E29" s="1107">
        <f>1/((C27-C22)/C22)</f>
        <v>8.1657960134812697</v>
      </c>
      <c r="F29" s="1107">
        <f>C28/C22-1</f>
        <v>8.1657960134812697</v>
      </c>
      <c r="G29" s="1108">
        <f>1/(C27/C22-1)</f>
        <v>8.1657960134812662</v>
      </c>
      <c r="J29" s="1128" t="s">
        <v>3232</v>
      </c>
      <c r="K29" s="1129"/>
      <c r="L29" s="1129"/>
      <c r="M29" s="1129"/>
      <c r="N29" s="1130">
        <f>LOG(N27)/LOG(2)</f>
        <v>0.3334237337251918</v>
      </c>
      <c r="O29" s="1130">
        <f>LOG(O27)/LOG(2)</f>
        <v>2</v>
      </c>
      <c r="P29" s="1131">
        <f>LOG(P27)/LOG(2)</f>
        <v>3</v>
      </c>
    </row>
    <row r="30" spans="2:21">
      <c r="B30" s="1128"/>
      <c r="C30" s="1129"/>
      <c r="D30" s="1129"/>
      <c r="E30" s="1129"/>
      <c r="F30" s="1129"/>
      <c r="G30" s="1132"/>
    </row>
    <row r="87" spans="2:27" ht="15.75">
      <c r="B87" s="318"/>
      <c r="C87" s="1133" t="s">
        <v>3233</v>
      </c>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row>
    <row r="88" spans="2:27" ht="15.75">
      <c r="B88" s="318"/>
      <c r="C88" s="1133" t="s">
        <v>3234</v>
      </c>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row>
    <row r="89" spans="2:27" ht="15.75">
      <c r="B89" s="318"/>
      <c r="C89" s="1133" t="s">
        <v>3235</v>
      </c>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row>
    <row r="90" spans="2:27">
      <c r="B90" s="318"/>
      <c r="C90" s="318"/>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8"/>
    </row>
    <row r="91" spans="2:27">
      <c r="B91" s="318"/>
      <c r="C91" s="318"/>
      <c r="D91" s="318"/>
      <c r="E91" s="318"/>
      <c r="F91" s="318"/>
      <c r="G91" s="318"/>
      <c r="H91" s="318"/>
      <c r="I91" s="318"/>
      <c r="J91" s="318"/>
      <c r="K91" s="318"/>
      <c r="L91" s="318"/>
      <c r="M91" s="318"/>
      <c r="N91" s="318"/>
      <c r="O91" s="318"/>
      <c r="P91" s="318"/>
      <c r="Q91" s="318"/>
      <c r="R91" s="318"/>
      <c r="S91" s="318"/>
      <c r="T91" s="318"/>
      <c r="U91" s="318"/>
      <c r="V91" s="318"/>
      <c r="W91" s="318"/>
      <c r="X91" s="318"/>
      <c r="Y91" s="318"/>
      <c r="Z91" s="318"/>
      <c r="AA91" s="318"/>
    </row>
    <row r="92" spans="2:27">
      <c r="B92" s="318"/>
      <c r="C92" s="56" t="s">
        <v>3236</v>
      </c>
      <c r="D92" s="945">
        <v>1.02</v>
      </c>
      <c r="E92" s="318"/>
      <c r="F92" s="318"/>
      <c r="G92" s="318"/>
      <c r="H92" s="318"/>
      <c r="I92" s="318"/>
      <c r="J92" s="318"/>
      <c r="K92" s="318"/>
      <c r="L92" s="318"/>
      <c r="M92" s="318"/>
      <c r="N92" s="318"/>
      <c r="O92" s="318"/>
      <c r="P92" s="318"/>
      <c r="Q92" s="318"/>
      <c r="R92" s="318"/>
      <c r="S92" s="318"/>
      <c r="T92" s="318"/>
      <c r="U92" s="318"/>
      <c r="V92" s="318"/>
      <c r="W92" s="318"/>
      <c r="X92" s="318"/>
      <c r="Y92" s="318"/>
      <c r="Z92" s="318"/>
      <c r="AA92" s="318"/>
    </row>
    <row r="93" spans="2:27">
      <c r="B93" s="318"/>
      <c r="C93" s="318"/>
      <c r="D93" s="318"/>
      <c r="E93" s="318"/>
      <c r="F93" s="318"/>
      <c r="G93" s="318"/>
      <c r="H93" s="318"/>
      <c r="I93" s="318"/>
      <c r="J93" s="318"/>
      <c r="K93" s="318"/>
      <c r="L93" s="318"/>
      <c r="M93" s="318"/>
      <c r="N93" s="318"/>
      <c r="O93" s="318"/>
      <c r="P93" s="318"/>
      <c r="Q93" s="318"/>
      <c r="R93" s="318"/>
      <c r="S93" s="318"/>
      <c r="T93" s="318"/>
      <c r="U93" s="318"/>
      <c r="V93" s="318"/>
      <c r="W93" s="318"/>
      <c r="X93" s="318"/>
      <c r="Y93" s="318"/>
      <c r="Z93" s="318"/>
      <c r="AA93" s="318"/>
    </row>
    <row r="94" spans="2:27">
      <c r="B94" s="1134"/>
      <c r="C94" s="1134"/>
      <c r="D94" s="1134" t="s">
        <v>2484</v>
      </c>
      <c r="E94" s="1654" t="s">
        <v>3237</v>
      </c>
      <c r="F94" s="1655"/>
      <c r="G94" s="1654" t="s">
        <v>3238</v>
      </c>
      <c r="H94" s="1655"/>
      <c r="I94" s="846" t="s">
        <v>2485</v>
      </c>
      <c r="J94" s="844"/>
      <c r="K94" s="1135"/>
      <c r="L94" s="1091"/>
      <c r="M94" s="846"/>
      <c r="N94" s="1136"/>
      <c r="O94" s="1136"/>
      <c r="P94" s="1660"/>
      <c r="Q94" s="1136"/>
      <c r="R94" s="318"/>
      <c r="S94" s="318"/>
      <c r="T94" s="318"/>
      <c r="U94" s="318"/>
      <c r="V94" s="318"/>
      <c r="W94" s="318"/>
      <c r="X94" s="318"/>
      <c r="Y94" s="318"/>
      <c r="Z94" s="318"/>
      <c r="AA94" s="318"/>
    </row>
    <row r="95" spans="2:27">
      <c r="B95" s="1137" t="s">
        <v>2484</v>
      </c>
      <c r="C95" s="1137" t="s">
        <v>1773</v>
      </c>
      <c r="D95" s="1137" t="s">
        <v>2488</v>
      </c>
      <c r="E95" s="1656"/>
      <c r="F95" s="1657"/>
      <c r="G95" s="1656"/>
      <c r="H95" s="1657"/>
      <c r="I95" s="850" t="s">
        <v>2488</v>
      </c>
      <c r="J95" s="318"/>
      <c r="K95" s="169" t="s">
        <v>3239</v>
      </c>
      <c r="L95" s="849"/>
      <c r="M95" s="850" t="s">
        <v>526</v>
      </c>
      <c r="N95" s="1138" t="s">
        <v>3087</v>
      </c>
      <c r="O95" s="1138" t="s">
        <v>3240</v>
      </c>
      <c r="P95" s="1661"/>
      <c r="Q95" s="1138" t="s">
        <v>3241</v>
      </c>
      <c r="R95" s="318"/>
      <c r="S95" s="318"/>
      <c r="T95" s="318"/>
      <c r="U95" s="318"/>
      <c r="V95" s="318"/>
      <c r="W95" s="318"/>
      <c r="X95" s="318"/>
      <c r="Y95" s="318"/>
      <c r="Z95" s="318"/>
      <c r="AA95" s="318"/>
    </row>
    <row r="96" spans="2:27">
      <c r="B96" s="1137" t="s">
        <v>2487</v>
      </c>
      <c r="C96" s="1137" t="s">
        <v>2494</v>
      </c>
      <c r="D96" s="1137" t="s">
        <v>251</v>
      </c>
      <c r="E96" s="1656"/>
      <c r="F96" s="1657"/>
      <c r="G96" s="1656"/>
      <c r="H96" s="1657"/>
      <c r="I96" s="850" t="s">
        <v>2495</v>
      </c>
      <c r="J96" s="228" t="s">
        <v>3242</v>
      </c>
      <c r="K96" s="318"/>
      <c r="L96" s="318"/>
      <c r="M96" s="850" t="s">
        <v>3243</v>
      </c>
      <c r="N96" s="1138" t="s">
        <v>3244</v>
      </c>
      <c r="O96" s="1138" t="s">
        <v>3245</v>
      </c>
      <c r="P96" s="1661"/>
      <c r="Q96" s="1138" t="s">
        <v>3240</v>
      </c>
      <c r="R96" s="318"/>
      <c r="S96" s="318"/>
      <c r="T96" s="318"/>
      <c r="U96" s="318"/>
      <c r="V96" s="318"/>
      <c r="W96" s="318"/>
      <c r="X96" s="318"/>
      <c r="Y96" s="318"/>
      <c r="Z96" s="318"/>
      <c r="AA96" s="318"/>
    </row>
    <row r="97" spans="2:27">
      <c r="B97" s="1137" t="s">
        <v>2500</v>
      </c>
      <c r="C97" s="1137" t="s">
        <v>2500</v>
      </c>
      <c r="D97" s="1137" t="s">
        <v>2500</v>
      </c>
      <c r="E97" s="1656"/>
      <c r="F97" s="1657"/>
      <c r="G97" s="1656"/>
      <c r="H97" s="1657"/>
      <c r="I97" s="850" t="s">
        <v>2500</v>
      </c>
      <c r="J97" s="851" t="s">
        <v>2496</v>
      </c>
      <c r="K97" s="169" t="s">
        <v>2497</v>
      </c>
      <c r="L97" s="852" t="s">
        <v>251</v>
      </c>
      <c r="M97" s="850" t="s">
        <v>2500</v>
      </c>
      <c r="N97" s="1138"/>
      <c r="O97" s="1138" t="s">
        <v>3246</v>
      </c>
      <c r="P97" s="1661"/>
      <c r="Q97" s="1138" t="s">
        <v>3247</v>
      </c>
      <c r="R97" s="318"/>
      <c r="S97" s="318"/>
      <c r="T97" s="318"/>
      <c r="U97" s="318"/>
      <c r="V97" s="318"/>
      <c r="W97" s="318"/>
      <c r="X97" s="318"/>
      <c r="Y97" s="318"/>
      <c r="Z97" s="318"/>
      <c r="AA97" s="318"/>
    </row>
    <row r="98" spans="2:27">
      <c r="B98" s="1139"/>
      <c r="C98" s="1139"/>
      <c r="D98" s="1139"/>
      <c r="E98" s="1658"/>
      <c r="F98" s="1659"/>
      <c r="G98" s="1658"/>
      <c r="H98" s="1659"/>
      <c r="I98" s="861"/>
      <c r="J98" s="883"/>
      <c r="K98" s="225"/>
      <c r="L98" s="860"/>
      <c r="M98" s="861"/>
      <c r="N98" s="1140"/>
      <c r="O98" s="1140"/>
      <c r="P98" s="1662"/>
      <c r="Q98" s="1140"/>
      <c r="R98" s="318"/>
      <c r="S98" s="318"/>
      <c r="T98" s="318"/>
      <c r="U98" s="318"/>
      <c r="V98" s="318"/>
      <c r="W98" s="318"/>
      <c r="X98" s="318"/>
      <c r="Y98" s="318"/>
      <c r="Z98" s="318"/>
      <c r="AA98" s="318"/>
    </row>
    <row r="99" spans="2:27">
      <c r="B99" s="886">
        <v>200</v>
      </c>
      <c r="C99" s="887">
        <v>50</v>
      </c>
      <c r="D99" s="888">
        <v>50.1</v>
      </c>
      <c r="E99" s="224" t="s">
        <v>2506</v>
      </c>
      <c r="F99" s="1141">
        <f t="shared" ref="F99:F162" si="6">D99/C99-1</f>
        <v>2.0000000000000018E-3</v>
      </c>
      <c r="G99" s="224" t="s">
        <v>2506</v>
      </c>
      <c r="H99" s="873">
        <f t="shared" ref="H99:H162" si="7">1/(D99/C99-1)</f>
        <v>499.99999999999955</v>
      </c>
      <c r="I99" s="879">
        <f t="shared" ref="I99:I162" si="8">C99+H99*C99</f>
        <v>25049.999999999978</v>
      </c>
      <c r="J99" s="1142" t="s">
        <v>2507</v>
      </c>
      <c r="K99" s="225" t="s">
        <v>2497</v>
      </c>
      <c r="L99" s="860">
        <f t="shared" ref="L99:L162" si="9">D99/I99</f>
        <v>2.0000000000000018E-3</v>
      </c>
      <c r="M99" s="879">
        <f t="shared" ref="M99:M162" si="10">B99*I99/D99</f>
        <v>99999.999999999898</v>
      </c>
      <c r="N99" s="1143">
        <f t="shared" ref="N99:N162" si="11">1/((I99/C99)^2)</f>
        <v>3.9840478723192411E-6</v>
      </c>
      <c r="O99" s="1144">
        <f t="shared" ref="O99:O162" si="12">(I99/C99)^2</f>
        <v>251000.99999999953</v>
      </c>
      <c r="P99" s="166"/>
      <c r="Q99" s="1145">
        <f t="shared" ref="Q99:Q162" si="13">LOG(O99)/LOG(2)</f>
        <v>17.937333586390416</v>
      </c>
      <c r="R99" s="318"/>
      <c r="S99" s="318"/>
      <c r="T99" s="318"/>
      <c r="U99" s="318"/>
      <c r="V99" s="318"/>
      <c r="W99" s="318"/>
      <c r="X99" s="318"/>
      <c r="Y99" s="318"/>
      <c r="Z99" s="318"/>
      <c r="AA99" s="318"/>
    </row>
    <row r="100" spans="2:27">
      <c r="B100" s="1139">
        <f>B99</f>
        <v>200</v>
      </c>
      <c r="C100" s="1146">
        <f>C99</f>
        <v>50</v>
      </c>
      <c r="D100" s="1147">
        <f>D99*D92</f>
        <v>51.102000000000004</v>
      </c>
      <c r="E100" s="224" t="s">
        <v>2506</v>
      </c>
      <c r="F100" s="1141">
        <f t="shared" si="6"/>
        <v>2.204000000000006E-2</v>
      </c>
      <c r="G100" s="224" t="s">
        <v>2506</v>
      </c>
      <c r="H100" s="1141">
        <f t="shared" si="7"/>
        <v>45.372050816696792</v>
      </c>
      <c r="I100" s="879">
        <f t="shared" si="8"/>
        <v>2318.6025408348396</v>
      </c>
      <c r="J100" s="1142" t="s">
        <v>2507</v>
      </c>
      <c r="K100" s="225" t="s">
        <v>2497</v>
      </c>
      <c r="L100" s="860">
        <f t="shared" si="9"/>
        <v>2.204000000000006E-2</v>
      </c>
      <c r="M100" s="879">
        <f t="shared" si="10"/>
        <v>9074.4101633393584</v>
      </c>
      <c r="N100" s="1148">
        <f t="shared" si="11"/>
        <v>4.6503687738715804E-4</v>
      </c>
      <c r="O100" s="1144">
        <f t="shared" si="12"/>
        <v>2150.3670969463096</v>
      </c>
      <c r="P100" s="166"/>
      <c r="Q100" s="1145">
        <f t="shared" si="13"/>
        <v>11.070367253191085</v>
      </c>
      <c r="R100" s="318"/>
      <c r="S100" s="318"/>
      <c r="T100" s="318"/>
      <c r="U100" s="318"/>
      <c r="V100" s="318"/>
      <c r="W100" s="318"/>
      <c r="X100" s="318"/>
      <c r="Y100" s="318"/>
      <c r="Z100" s="318"/>
      <c r="AA100" s="318"/>
    </row>
    <row r="101" spans="2:27">
      <c r="B101" s="1139">
        <f>B99</f>
        <v>200</v>
      </c>
      <c r="C101" s="1146">
        <f>C99</f>
        <v>50</v>
      </c>
      <c r="D101" s="1147">
        <f>D100*D92</f>
        <v>52.124040000000008</v>
      </c>
      <c r="E101" s="224" t="s">
        <v>2506</v>
      </c>
      <c r="F101" s="1141">
        <f t="shared" si="6"/>
        <v>4.2480800000000096E-2</v>
      </c>
      <c r="G101" s="224" t="s">
        <v>2506</v>
      </c>
      <c r="H101" s="1141">
        <f t="shared" si="7"/>
        <v>23.540046326811119</v>
      </c>
      <c r="I101" s="879">
        <f t="shared" si="8"/>
        <v>1227.002316340556</v>
      </c>
      <c r="J101" s="1142" t="s">
        <v>2507</v>
      </c>
      <c r="K101" s="225" t="s">
        <v>2497</v>
      </c>
      <c r="L101" s="860">
        <f t="shared" si="9"/>
        <v>4.2480800000000096E-2</v>
      </c>
      <c r="M101" s="879">
        <f t="shared" si="10"/>
        <v>4708.0092653622232</v>
      </c>
      <c r="N101" s="1148">
        <f t="shared" si="11"/>
        <v>1.6605396249332676E-3</v>
      </c>
      <c r="O101" s="1144">
        <f t="shared" si="12"/>
        <v>602.21387372203606</v>
      </c>
      <c r="P101" s="166"/>
      <c r="Q101" s="1145">
        <f t="shared" si="13"/>
        <v>9.2341321348340291</v>
      </c>
      <c r="R101" s="318"/>
      <c r="S101" s="318"/>
      <c r="T101" s="318"/>
      <c r="U101" s="318"/>
      <c r="V101" s="318"/>
      <c r="W101" s="318"/>
      <c r="X101" s="318"/>
      <c r="Y101" s="318"/>
      <c r="Z101" s="318"/>
      <c r="AA101" s="318"/>
    </row>
    <row r="102" spans="2:27">
      <c r="B102" s="1139">
        <f>B99</f>
        <v>200</v>
      </c>
      <c r="C102" s="1146">
        <f>C99</f>
        <v>50</v>
      </c>
      <c r="D102" s="1147">
        <f>D101*D92</f>
        <v>53.166520800000008</v>
      </c>
      <c r="E102" s="224" t="s">
        <v>2506</v>
      </c>
      <c r="F102" s="860">
        <f t="shared" si="6"/>
        <v>6.3330416000000112E-2</v>
      </c>
      <c r="G102" s="224" t="s">
        <v>2506</v>
      </c>
      <c r="H102" s="1141">
        <f t="shared" si="7"/>
        <v>15.790201030733767</v>
      </c>
      <c r="I102" s="879">
        <f t="shared" si="8"/>
        <v>839.51005153668837</v>
      </c>
      <c r="J102" s="1142" t="s">
        <v>2507</v>
      </c>
      <c r="K102" s="225" t="s">
        <v>2497</v>
      </c>
      <c r="L102" s="860">
        <f t="shared" si="9"/>
        <v>6.3330416000000112E-2</v>
      </c>
      <c r="M102" s="879">
        <f t="shared" si="10"/>
        <v>3158.0402061467535</v>
      </c>
      <c r="N102" s="1148">
        <f t="shared" si="11"/>
        <v>3.5472206823029487E-3</v>
      </c>
      <c r="O102" s="1144">
        <f t="shared" si="12"/>
        <v>281.91085065245329</v>
      </c>
      <c r="P102" s="166"/>
      <c r="Q102" s="1145">
        <f t="shared" si="13"/>
        <v>8.1390951975916046</v>
      </c>
      <c r="R102" s="318"/>
      <c r="S102" s="318"/>
      <c r="T102" s="318"/>
      <c r="U102" s="318"/>
      <c r="V102" s="318"/>
      <c r="W102" s="318"/>
      <c r="X102" s="318"/>
      <c r="Y102" s="318"/>
      <c r="Z102" s="318"/>
      <c r="AA102" s="318"/>
    </row>
    <row r="103" spans="2:27">
      <c r="B103" s="1139">
        <f>B99</f>
        <v>200</v>
      </c>
      <c r="C103" s="1146">
        <f>C99</f>
        <v>50</v>
      </c>
      <c r="D103" s="1147">
        <f>D102*D92</f>
        <v>54.229851216000007</v>
      </c>
      <c r="E103" s="224" t="s">
        <v>2506</v>
      </c>
      <c r="F103" s="860">
        <f t="shared" si="6"/>
        <v>8.4597024320000047E-2</v>
      </c>
      <c r="G103" s="224" t="s">
        <v>2506</v>
      </c>
      <c r="H103" s="1141">
        <f t="shared" si="7"/>
        <v>11.8207467465683</v>
      </c>
      <c r="I103" s="879">
        <f t="shared" si="8"/>
        <v>641.03733732841499</v>
      </c>
      <c r="J103" s="1142" t="s">
        <v>2507</v>
      </c>
      <c r="K103" s="225" t="s">
        <v>2497</v>
      </c>
      <c r="L103" s="860">
        <f t="shared" si="9"/>
        <v>8.4597024320000061E-2</v>
      </c>
      <c r="M103" s="879">
        <f t="shared" si="10"/>
        <v>2364.14934931366</v>
      </c>
      <c r="N103" s="1148">
        <f t="shared" si="11"/>
        <v>6.0837779859214394E-3</v>
      </c>
      <c r="O103" s="1144">
        <f t="shared" si="12"/>
        <v>164.37154713964165</v>
      </c>
      <c r="P103" s="166"/>
      <c r="Q103" s="1145">
        <f t="shared" si="13"/>
        <v>7.3608167786171617</v>
      </c>
      <c r="R103" s="318"/>
      <c r="S103" s="318"/>
      <c r="T103" s="318"/>
      <c r="U103" s="318"/>
      <c r="V103" s="318"/>
      <c r="W103" s="318"/>
      <c r="X103" s="318"/>
      <c r="Y103" s="318"/>
      <c r="Z103" s="318"/>
      <c r="AA103" s="318"/>
    </row>
    <row r="104" spans="2:27">
      <c r="B104" s="1139">
        <f>B99</f>
        <v>200</v>
      </c>
      <c r="C104" s="1146">
        <f>C99</f>
        <v>50</v>
      </c>
      <c r="D104" s="1147">
        <f>D103*D92</f>
        <v>55.314448240320012</v>
      </c>
      <c r="E104" s="224" t="s">
        <v>2506</v>
      </c>
      <c r="F104" s="860">
        <f t="shared" si="6"/>
        <v>0.10628896480640027</v>
      </c>
      <c r="G104" s="224" t="s">
        <v>2506</v>
      </c>
      <c r="H104" s="1141">
        <f t="shared" si="7"/>
        <v>9.4083144174133899</v>
      </c>
      <c r="I104" s="879">
        <f t="shared" si="8"/>
        <v>520.41572087066947</v>
      </c>
      <c r="J104" s="1142" t="s">
        <v>2507</v>
      </c>
      <c r="K104" s="225" t="s">
        <v>2497</v>
      </c>
      <c r="L104" s="860">
        <f t="shared" si="9"/>
        <v>0.10628896480640027</v>
      </c>
      <c r="M104" s="879">
        <f t="shared" si="10"/>
        <v>1881.6628834826779</v>
      </c>
      <c r="N104" s="1148">
        <f t="shared" si="11"/>
        <v>9.2307968653549781E-3</v>
      </c>
      <c r="O104" s="1144">
        <f t="shared" si="12"/>
        <v>108.33300901173543</v>
      </c>
      <c r="P104" s="166"/>
      <c r="Q104" s="1145">
        <f t="shared" si="13"/>
        <v>6.7593290881374797</v>
      </c>
      <c r="R104" s="318"/>
      <c r="S104" s="318"/>
      <c r="T104" s="318"/>
      <c r="U104" s="318"/>
      <c r="V104" s="318"/>
      <c r="W104" s="318"/>
      <c r="X104" s="318"/>
      <c r="Y104" s="318"/>
      <c r="Z104" s="318"/>
      <c r="AA104" s="318"/>
    </row>
    <row r="105" spans="2:27">
      <c r="B105" s="1139">
        <f>B99</f>
        <v>200</v>
      </c>
      <c r="C105" s="1146">
        <f>C99</f>
        <v>50</v>
      </c>
      <c r="D105" s="1147">
        <f>D104*D92</f>
        <v>56.420737205126414</v>
      </c>
      <c r="E105" s="224" t="s">
        <v>2506</v>
      </c>
      <c r="F105" s="860">
        <f t="shared" si="6"/>
        <v>0.12841474410252829</v>
      </c>
      <c r="G105" s="224" t="s">
        <v>2506</v>
      </c>
      <c r="H105" s="1141">
        <f t="shared" si="7"/>
        <v>7.7872677860229569</v>
      </c>
      <c r="I105" s="879">
        <f t="shared" si="8"/>
        <v>439.36338930114783</v>
      </c>
      <c r="J105" s="1142" t="s">
        <v>2507</v>
      </c>
      <c r="K105" s="225" t="s">
        <v>2497</v>
      </c>
      <c r="L105" s="860">
        <f t="shared" si="9"/>
        <v>0.12841474410252829</v>
      </c>
      <c r="M105" s="879">
        <f t="shared" si="10"/>
        <v>1557.4535572045913</v>
      </c>
      <c r="N105" s="1148">
        <f t="shared" si="11"/>
        <v>1.2950671193070475E-2</v>
      </c>
      <c r="O105" s="1144">
        <f t="shared" si="12"/>
        <v>77.216075143276797</v>
      </c>
      <c r="P105" s="166"/>
      <c r="Q105" s="1145">
        <f t="shared" si="13"/>
        <v>6.2708293195214946</v>
      </c>
      <c r="R105" s="318"/>
      <c r="S105" s="318"/>
      <c r="T105" s="318"/>
      <c r="U105" s="318"/>
      <c r="V105" s="318"/>
      <c r="W105" s="318"/>
      <c r="X105" s="318"/>
      <c r="Y105" s="318"/>
      <c r="Z105" s="318"/>
      <c r="AA105" s="318"/>
    </row>
    <row r="106" spans="2:27">
      <c r="B106" s="1139">
        <f>B99</f>
        <v>200</v>
      </c>
      <c r="C106" s="1146">
        <f>C99</f>
        <v>50</v>
      </c>
      <c r="D106" s="1147">
        <f>D105*D92</f>
        <v>57.549151949228943</v>
      </c>
      <c r="E106" s="224" t="s">
        <v>2506</v>
      </c>
      <c r="F106" s="860">
        <f t="shared" si="6"/>
        <v>0.15098303898457877</v>
      </c>
      <c r="G106" s="224" t="s">
        <v>2506</v>
      </c>
      <c r="H106" s="1141">
        <f t="shared" si="7"/>
        <v>6.6232605114150527</v>
      </c>
      <c r="I106" s="879">
        <f t="shared" si="8"/>
        <v>381.16302557075261</v>
      </c>
      <c r="J106" s="1142" t="s">
        <v>2507</v>
      </c>
      <c r="K106" s="225" t="s">
        <v>2497</v>
      </c>
      <c r="L106" s="860">
        <f t="shared" si="9"/>
        <v>0.15098303898457879</v>
      </c>
      <c r="M106" s="879">
        <f t="shared" si="10"/>
        <v>1324.6521022830102</v>
      </c>
      <c r="N106" s="1148">
        <f t="shared" si="11"/>
        <v>1.7207527705075172E-2</v>
      </c>
      <c r="O106" s="1144">
        <f t="shared" si="12"/>
        <v>58.114100824900078</v>
      </c>
      <c r="P106" s="166"/>
      <c r="Q106" s="1145">
        <f t="shared" si="13"/>
        <v>5.8608163570011067</v>
      </c>
      <c r="R106" s="318"/>
      <c r="S106" s="318"/>
      <c r="T106" s="318"/>
      <c r="U106" s="318"/>
      <c r="V106" s="318"/>
      <c r="W106" s="318"/>
      <c r="X106" s="318"/>
      <c r="Y106" s="318"/>
      <c r="Z106" s="318"/>
      <c r="AA106" s="318"/>
    </row>
    <row r="107" spans="2:27">
      <c r="B107" s="1139">
        <f>B99</f>
        <v>200</v>
      </c>
      <c r="C107" s="1146">
        <f>C99</f>
        <v>50</v>
      </c>
      <c r="D107" s="1147">
        <f>D106*D92</f>
        <v>58.70013498821352</v>
      </c>
      <c r="E107" s="224" t="s">
        <v>2506</v>
      </c>
      <c r="F107" s="860">
        <f t="shared" si="6"/>
        <v>0.1740026997642703</v>
      </c>
      <c r="G107" s="224" t="s">
        <v>2506</v>
      </c>
      <c r="H107" s="1141">
        <f t="shared" si="7"/>
        <v>5.7470372664030354</v>
      </c>
      <c r="I107" s="879">
        <f t="shared" si="8"/>
        <v>337.35186332015178</v>
      </c>
      <c r="J107" s="1142" t="s">
        <v>2507</v>
      </c>
      <c r="K107" s="225" t="s">
        <v>2497</v>
      </c>
      <c r="L107" s="860">
        <f t="shared" si="9"/>
        <v>0.1740026997642703</v>
      </c>
      <c r="M107" s="879">
        <f t="shared" si="10"/>
        <v>1149.4074532806069</v>
      </c>
      <c r="N107" s="1148">
        <f t="shared" si="11"/>
        <v>2.196715336716874E-2</v>
      </c>
      <c r="O107" s="1144">
        <f t="shared" si="12"/>
        <v>45.522511874231341</v>
      </c>
      <c r="P107" s="166"/>
      <c r="Q107" s="1145">
        <f t="shared" si="13"/>
        <v>5.5085082608032723</v>
      </c>
      <c r="R107" s="318"/>
      <c r="S107" s="318"/>
      <c r="T107" s="318"/>
      <c r="U107" s="318"/>
      <c r="V107" s="318"/>
      <c r="W107" s="318"/>
      <c r="X107" s="318"/>
      <c r="Y107" s="318"/>
      <c r="Z107" s="318"/>
      <c r="AA107" s="318"/>
    </row>
    <row r="108" spans="2:27">
      <c r="B108" s="1139">
        <f>B99</f>
        <v>200</v>
      </c>
      <c r="C108" s="1146">
        <f>C99</f>
        <v>50</v>
      </c>
      <c r="D108" s="1147">
        <f>D107*D92</f>
        <v>59.874137687977793</v>
      </c>
      <c r="E108" s="224" t="s">
        <v>2506</v>
      </c>
      <c r="F108" s="860">
        <f t="shared" si="6"/>
        <v>0.19748275375955582</v>
      </c>
      <c r="G108" s="224" t="s">
        <v>2506</v>
      </c>
      <c r="H108" s="1141">
        <f t="shared" si="7"/>
        <v>5.0637333182903923</v>
      </c>
      <c r="I108" s="879">
        <f t="shared" si="8"/>
        <v>303.18666591451961</v>
      </c>
      <c r="J108" s="1142" t="s">
        <v>2507</v>
      </c>
      <c r="K108" s="225" t="s">
        <v>2497</v>
      </c>
      <c r="L108" s="860">
        <f t="shared" si="9"/>
        <v>0.19748275375955582</v>
      </c>
      <c r="M108" s="879">
        <f t="shared" si="10"/>
        <v>1012.7466636580784</v>
      </c>
      <c r="N108" s="1148">
        <f t="shared" si="11"/>
        <v>2.7196925666447425E-2</v>
      </c>
      <c r="O108" s="1144">
        <f t="shared" si="12"/>
        <v>36.768861755345014</v>
      </c>
      <c r="P108" s="166"/>
      <c r="Q108" s="1145">
        <f t="shared" si="13"/>
        <v>5.2004126109625268</v>
      </c>
      <c r="R108" s="318"/>
      <c r="S108" s="318"/>
      <c r="T108" s="318"/>
      <c r="U108" s="318"/>
      <c r="V108" s="318"/>
      <c r="W108" s="318"/>
      <c r="X108" s="318"/>
      <c r="Y108" s="318"/>
      <c r="Z108" s="318"/>
      <c r="AA108" s="318"/>
    </row>
    <row r="109" spans="2:27">
      <c r="B109" s="1139">
        <f>B99</f>
        <v>200</v>
      </c>
      <c r="C109" s="1146">
        <f>C99</f>
        <v>50</v>
      </c>
      <c r="D109" s="1147">
        <f>D108*D92</f>
        <v>61.071620441737352</v>
      </c>
      <c r="E109" s="224" t="s">
        <v>2506</v>
      </c>
      <c r="F109" s="860">
        <f t="shared" si="6"/>
        <v>0.22143240883474702</v>
      </c>
      <c r="G109" s="224" t="s">
        <v>2506</v>
      </c>
      <c r="H109" s="1141">
        <f t="shared" si="7"/>
        <v>4.5160507680982276</v>
      </c>
      <c r="I109" s="879">
        <f t="shared" si="8"/>
        <v>275.80253840491139</v>
      </c>
      <c r="J109" s="1142" t="s">
        <v>2507</v>
      </c>
      <c r="K109" s="225" t="s">
        <v>2497</v>
      </c>
      <c r="L109" s="860">
        <f t="shared" si="9"/>
        <v>0.22143240883474702</v>
      </c>
      <c r="M109" s="879">
        <f t="shared" si="10"/>
        <v>903.21015361964555</v>
      </c>
      <c r="N109" s="1148">
        <f t="shared" si="11"/>
        <v>3.2865745712414095E-2</v>
      </c>
      <c r="O109" s="1144">
        <f t="shared" si="12"/>
        <v>30.426816076237046</v>
      </c>
      <c r="P109" s="166"/>
      <c r="Q109" s="1145">
        <f t="shared" si="13"/>
        <v>4.9272714701020801</v>
      </c>
      <c r="R109" s="318"/>
      <c r="S109" s="318"/>
      <c r="T109" s="318"/>
      <c r="U109" s="318"/>
      <c r="V109" s="318"/>
      <c r="W109" s="318"/>
      <c r="X109" s="318"/>
      <c r="Y109" s="318"/>
      <c r="Z109" s="318"/>
      <c r="AA109" s="318"/>
    </row>
    <row r="110" spans="2:27">
      <c r="B110" s="1139">
        <f>B99</f>
        <v>200</v>
      </c>
      <c r="C110" s="1146">
        <f>C99</f>
        <v>50</v>
      </c>
      <c r="D110" s="1147">
        <f>D109*D92</f>
        <v>62.293052850572103</v>
      </c>
      <c r="E110" s="224" t="s">
        <v>2506</v>
      </c>
      <c r="F110" s="860">
        <f t="shared" si="6"/>
        <v>0.24586105701144212</v>
      </c>
      <c r="G110" s="224" t="s">
        <v>2506</v>
      </c>
      <c r="H110" s="1141">
        <f t="shared" si="7"/>
        <v>4.0673379190485663</v>
      </c>
      <c r="I110" s="879">
        <f t="shared" si="8"/>
        <v>253.36689595242831</v>
      </c>
      <c r="J110" s="1142" t="s">
        <v>2507</v>
      </c>
      <c r="K110" s="225" t="s">
        <v>2497</v>
      </c>
      <c r="L110" s="860">
        <f t="shared" si="9"/>
        <v>0.24586105701144212</v>
      </c>
      <c r="M110" s="879">
        <f t="shared" si="10"/>
        <v>813.46758380971335</v>
      </c>
      <c r="N110" s="1148">
        <f t="shared" si="11"/>
        <v>3.8943974036579641E-2</v>
      </c>
      <c r="O110" s="1144">
        <f t="shared" si="12"/>
        <v>25.677913585827454</v>
      </c>
      <c r="P110" s="166"/>
      <c r="Q110" s="1145">
        <f t="shared" si="13"/>
        <v>4.682456078435381</v>
      </c>
      <c r="R110" s="318"/>
      <c r="S110" s="318"/>
      <c r="T110" s="318"/>
      <c r="U110" s="318"/>
      <c r="V110" s="318"/>
      <c r="W110" s="318"/>
      <c r="X110" s="318"/>
      <c r="Y110" s="318"/>
      <c r="Z110" s="318"/>
      <c r="AA110" s="318"/>
    </row>
    <row r="111" spans="2:27">
      <c r="B111" s="1139">
        <f>B99</f>
        <v>200</v>
      </c>
      <c r="C111" s="1146">
        <f>C99</f>
        <v>50</v>
      </c>
      <c r="D111" s="1147">
        <f>D110*D92</f>
        <v>63.538913907583549</v>
      </c>
      <c r="E111" s="224" t="s">
        <v>2506</v>
      </c>
      <c r="F111" s="860">
        <f t="shared" si="6"/>
        <v>0.27077827815167099</v>
      </c>
      <c r="G111" s="224" t="s">
        <v>2506</v>
      </c>
      <c r="H111" s="1141">
        <f t="shared" si="7"/>
        <v>3.69305841970038</v>
      </c>
      <c r="I111" s="879">
        <f t="shared" si="8"/>
        <v>234.65292098501899</v>
      </c>
      <c r="J111" s="1142" t="s">
        <v>2507</v>
      </c>
      <c r="K111" s="225" t="s">
        <v>2497</v>
      </c>
      <c r="L111" s="860">
        <f t="shared" si="9"/>
        <v>0.27077827815167099</v>
      </c>
      <c r="M111" s="879">
        <f t="shared" si="10"/>
        <v>738.61168394007609</v>
      </c>
      <c r="N111" s="1148">
        <f t="shared" si="11"/>
        <v>4.5403368983794462E-2</v>
      </c>
      <c r="O111" s="1144">
        <f t="shared" si="12"/>
        <v>22.024797330720627</v>
      </c>
      <c r="P111" s="166"/>
      <c r="Q111" s="1145">
        <f t="shared" si="13"/>
        <v>4.4610568386046943</v>
      </c>
      <c r="R111" s="318"/>
      <c r="S111" s="318"/>
      <c r="T111" s="318"/>
      <c r="U111" s="318"/>
      <c r="V111" s="318"/>
      <c r="W111" s="318"/>
      <c r="X111" s="318"/>
      <c r="Y111" s="318"/>
      <c r="Z111" s="318"/>
      <c r="AA111" s="318"/>
    </row>
    <row r="112" spans="2:27">
      <c r="B112" s="1139">
        <f>B99</f>
        <v>200</v>
      </c>
      <c r="C112" s="1146">
        <f>C99</f>
        <v>50</v>
      </c>
      <c r="D112" s="1147">
        <f>D111*D92</f>
        <v>64.809692185735216</v>
      </c>
      <c r="E112" s="224" t="s">
        <v>2506</v>
      </c>
      <c r="F112" s="860">
        <f t="shared" si="6"/>
        <v>0.29619384371470425</v>
      </c>
      <c r="G112" s="224" t="s">
        <v>2506</v>
      </c>
      <c r="H112" s="1141">
        <f t="shared" si="7"/>
        <v>3.3761674025987056</v>
      </c>
      <c r="I112" s="879">
        <f t="shared" si="8"/>
        <v>218.80837012993527</v>
      </c>
      <c r="J112" s="1142" t="s">
        <v>2507</v>
      </c>
      <c r="K112" s="225" t="s">
        <v>2497</v>
      </c>
      <c r="L112" s="860">
        <f t="shared" si="9"/>
        <v>0.29619384371470431</v>
      </c>
      <c r="M112" s="879">
        <f t="shared" si="10"/>
        <v>675.23348051974108</v>
      </c>
      <c r="N112" s="1148">
        <f t="shared" si="11"/>
        <v>5.2217027592734347E-2</v>
      </c>
      <c r="O112" s="1144">
        <f t="shared" si="12"/>
        <v>19.150841135567497</v>
      </c>
      <c r="P112" s="166"/>
      <c r="Q112" s="1145">
        <f t="shared" si="13"/>
        <v>4.2593358539024555</v>
      </c>
      <c r="R112" s="318"/>
      <c r="S112" s="318"/>
      <c r="T112" s="318"/>
      <c r="U112" s="318"/>
      <c r="V112" s="318"/>
      <c r="W112" s="318"/>
      <c r="X112" s="318"/>
      <c r="Y112" s="318"/>
      <c r="Z112" s="318"/>
      <c r="AA112" s="318"/>
    </row>
    <row r="113" spans="2:27">
      <c r="B113" s="1139">
        <f>B99</f>
        <v>200</v>
      </c>
      <c r="C113" s="1146">
        <f>C99</f>
        <v>50</v>
      </c>
      <c r="D113" s="1147">
        <f>D112*D92</f>
        <v>66.10588602944992</v>
      </c>
      <c r="E113" s="224" t="s">
        <v>2506</v>
      </c>
      <c r="F113" s="860">
        <f t="shared" si="6"/>
        <v>0.32211772058899846</v>
      </c>
      <c r="G113" s="224" t="s">
        <v>2506</v>
      </c>
      <c r="H113" s="1141">
        <f t="shared" si="7"/>
        <v>3.1044550985008859</v>
      </c>
      <c r="I113" s="879">
        <f t="shared" si="8"/>
        <v>205.22275492504428</v>
      </c>
      <c r="J113" s="1142" t="s">
        <v>2507</v>
      </c>
      <c r="K113" s="225" t="s">
        <v>2497</v>
      </c>
      <c r="L113" s="860">
        <f t="shared" si="9"/>
        <v>0.32211772058899846</v>
      </c>
      <c r="M113" s="879">
        <f t="shared" si="10"/>
        <v>620.89101970017714</v>
      </c>
      <c r="N113" s="1148">
        <f t="shared" si="11"/>
        <v>5.9359328866985028E-2</v>
      </c>
      <c r="O113" s="1144">
        <f t="shared" si="12"/>
        <v>16.846551655609915</v>
      </c>
      <c r="P113" s="166"/>
      <c r="Q113" s="1145">
        <f t="shared" si="13"/>
        <v>4.0743814092335633</v>
      </c>
      <c r="R113" s="318"/>
      <c r="S113" s="318"/>
      <c r="T113" s="318"/>
      <c r="U113" s="318"/>
      <c r="V113" s="318"/>
      <c r="W113" s="318"/>
      <c r="X113" s="318"/>
      <c r="Y113" s="318"/>
      <c r="Z113" s="318"/>
      <c r="AA113" s="318"/>
    </row>
    <row r="114" spans="2:27">
      <c r="B114" s="1139">
        <f>B99</f>
        <v>200</v>
      </c>
      <c r="C114" s="1146">
        <f>C99</f>
        <v>50</v>
      </c>
      <c r="D114" s="1147">
        <f>D113*D92</f>
        <v>67.428003750038926</v>
      </c>
      <c r="E114" s="224" t="s">
        <v>2506</v>
      </c>
      <c r="F114" s="860">
        <f t="shared" si="6"/>
        <v>0.34856007500077846</v>
      </c>
      <c r="G114" s="224" t="s">
        <v>2506</v>
      </c>
      <c r="H114" s="1141">
        <f t="shared" si="7"/>
        <v>2.8689459055164783</v>
      </c>
      <c r="I114" s="879">
        <f t="shared" si="8"/>
        <v>193.4472952758239</v>
      </c>
      <c r="J114" s="1142" t="s">
        <v>2507</v>
      </c>
      <c r="K114" s="225" t="s">
        <v>2497</v>
      </c>
      <c r="L114" s="860">
        <f t="shared" si="9"/>
        <v>0.34856007500077851</v>
      </c>
      <c r="M114" s="879">
        <f t="shared" si="10"/>
        <v>573.78918110329562</v>
      </c>
      <c r="N114" s="1148">
        <f t="shared" si="11"/>
        <v>6.6805879342034372E-2</v>
      </c>
      <c r="O114" s="1144">
        <f t="shared" si="12"/>
        <v>14.968742419812719</v>
      </c>
      <c r="P114" s="166"/>
      <c r="Q114" s="1145">
        <f t="shared" si="13"/>
        <v>3.9038811151540429</v>
      </c>
      <c r="R114" s="318"/>
      <c r="S114" s="318"/>
      <c r="T114" s="318"/>
      <c r="U114" s="318"/>
      <c r="V114" s="318"/>
      <c r="W114" s="318"/>
      <c r="X114" s="318"/>
      <c r="Y114" s="318"/>
      <c r="Z114" s="318"/>
      <c r="AA114" s="318"/>
    </row>
    <row r="115" spans="2:27">
      <c r="B115" s="1139">
        <f>B99</f>
        <v>200</v>
      </c>
      <c r="C115" s="1146">
        <f>C99</f>
        <v>50</v>
      </c>
      <c r="D115" s="1147">
        <f>D114*D92</f>
        <v>68.776563825039702</v>
      </c>
      <c r="E115" s="224" t="s">
        <v>2506</v>
      </c>
      <c r="F115" s="860">
        <f t="shared" si="6"/>
        <v>0.3755312765007941</v>
      </c>
      <c r="G115" s="224" t="s">
        <v>2506</v>
      </c>
      <c r="H115" s="1141">
        <f t="shared" si="7"/>
        <v>2.6628940452524077</v>
      </c>
      <c r="I115" s="879">
        <f t="shared" si="8"/>
        <v>183.1447022626204</v>
      </c>
      <c r="J115" s="1142" t="s">
        <v>2507</v>
      </c>
      <c r="K115" s="225" t="s">
        <v>2497</v>
      </c>
      <c r="L115" s="860">
        <f t="shared" si="9"/>
        <v>0.37553127650079404</v>
      </c>
      <c r="M115" s="879">
        <f t="shared" si="10"/>
        <v>532.5788090504816</v>
      </c>
      <c r="N115" s="1148">
        <f t="shared" si="11"/>
        <v>7.4533460857195311E-2</v>
      </c>
      <c r="O115" s="1144">
        <f t="shared" si="12"/>
        <v>13.416792786745551</v>
      </c>
      <c r="P115" s="166"/>
      <c r="Q115" s="1145">
        <f t="shared" si="13"/>
        <v>3.7459679390300198</v>
      </c>
      <c r="R115" s="318"/>
      <c r="S115" s="318"/>
      <c r="T115" s="318"/>
      <c r="U115" s="318"/>
      <c r="V115" s="318"/>
      <c r="W115" s="318"/>
      <c r="X115" s="318"/>
      <c r="Y115" s="318"/>
      <c r="Z115" s="318"/>
      <c r="AA115" s="318"/>
    </row>
    <row r="116" spans="2:27">
      <c r="B116" s="1139">
        <f>B99</f>
        <v>200</v>
      </c>
      <c r="C116" s="1146">
        <f>C99</f>
        <v>50</v>
      </c>
      <c r="D116" s="1147">
        <f>D115*D92</f>
        <v>70.152095101540496</v>
      </c>
      <c r="E116" s="224" t="s">
        <v>2506</v>
      </c>
      <c r="F116" s="860">
        <f t="shared" si="6"/>
        <v>0.40304190203081003</v>
      </c>
      <c r="G116" s="224" t="s">
        <v>2506</v>
      </c>
      <c r="H116" s="1141">
        <f t="shared" si="7"/>
        <v>2.4811316018540333</v>
      </c>
      <c r="I116" s="879">
        <f t="shared" si="8"/>
        <v>174.05658009270167</v>
      </c>
      <c r="J116" s="1142" t="s">
        <v>2507</v>
      </c>
      <c r="K116" s="225" t="s">
        <v>2497</v>
      </c>
      <c r="L116" s="860">
        <f t="shared" si="9"/>
        <v>0.40304190203080997</v>
      </c>
      <c r="M116" s="879">
        <f t="shared" si="10"/>
        <v>496.22632037080666</v>
      </c>
      <c r="N116" s="1148">
        <f t="shared" si="11"/>
        <v>8.2519980445050295E-2</v>
      </c>
      <c r="O116" s="1144">
        <f t="shared" si="12"/>
        <v>12.118277229426827</v>
      </c>
      <c r="P116" s="166"/>
      <c r="Q116" s="1145">
        <f t="shared" si="13"/>
        <v>3.5991127104290515</v>
      </c>
      <c r="R116" s="318"/>
      <c r="S116" s="318"/>
      <c r="T116" s="318"/>
      <c r="U116" s="318"/>
      <c r="V116" s="318"/>
      <c r="W116" s="318"/>
      <c r="X116" s="318"/>
      <c r="Y116" s="318"/>
      <c r="Z116" s="318"/>
      <c r="AA116" s="318"/>
    </row>
    <row r="117" spans="2:27">
      <c r="B117" s="1139">
        <f>B99</f>
        <v>200</v>
      </c>
      <c r="C117" s="1146">
        <f>C99</f>
        <v>50</v>
      </c>
      <c r="D117" s="1147">
        <f>D116*D92</f>
        <v>71.555137003571303</v>
      </c>
      <c r="E117" s="224" t="s">
        <v>2506</v>
      </c>
      <c r="F117" s="860">
        <f t="shared" si="6"/>
        <v>0.43110274007142602</v>
      </c>
      <c r="G117" s="224" t="s">
        <v>2506</v>
      </c>
      <c r="H117" s="1141">
        <f t="shared" si="7"/>
        <v>2.3196326700088195</v>
      </c>
      <c r="I117" s="879">
        <f t="shared" si="8"/>
        <v>165.98163350044098</v>
      </c>
      <c r="J117" s="1142" t="s">
        <v>2507</v>
      </c>
      <c r="K117" s="225" t="s">
        <v>2497</v>
      </c>
      <c r="L117" s="860">
        <f t="shared" si="9"/>
        <v>0.43110274007142602</v>
      </c>
      <c r="M117" s="879">
        <f t="shared" si="10"/>
        <v>463.92653400176391</v>
      </c>
      <c r="N117" s="1148">
        <f t="shared" si="11"/>
        <v>9.0744422254436644E-2</v>
      </c>
      <c r="O117" s="1144">
        <f t="shared" si="12"/>
        <v>11.019961063789884</v>
      </c>
      <c r="P117" s="166"/>
      <c r="Q117" s="1145">
        <f t="shared" si="13"/>
        <v>3.4620472214119968</v>
      </c>
      <c r="R117" s="318"/>
      <c r="S117" s="318"/>
      <c r="T117" s="318"/>
      <c r="U117" s="318"/>
      <c r="V117" s="318"/>
      <c r="W117" s="318"/>
      <c r="X117" s="318"/>
      <c r="Y117" s="318"/>
      <c r="Z117" s="318"/>
      <c r="AA117" s="318"/>
    </row>
    <row r="118" spans="2:27">
      <c r="B118" s="1139">
        <f>B99</f>
        <v>200</v>
      </c>
      <c r="C118" s="1146">
        <f>C99</f>
        <v>50</v>
      </c>
      <c r="D118" s="1147">
        <f>D117*D92</f>
        <v>72.986239743642727</v>
      </c>
      <c r="E118" s="224" t="s">
        <v>2506</v>
      </c>
      <c r="F118" s="860">
        <f t="shared" si="6"/>
        <v>0.45972479487285445</v>
      </c>
      <c r="G118" s="224" t="s">
        <v>2506</v>
      </c>
      <c r="H118" s="1141">
        <f t="shared" si="7"/>
        <v>2.1752144133895777</v>
      </c>
      <c r="I118" s="879">
        <f t="shared" si="8"/>
        <v>158.76072066947887</v>
      </c>
      <c r="J118" s="1142" t="s">
        <v>2507</v>
      </c>
      <c r="K118" s="225" t="s">
        <v>2497</v>
      </c>
      <c r="L118" s="860">
        <f t="shared" si="9"/>
        <v>0.4597247948728545</v>
      </c>
      <c r="M118" s="879">
        <f t="shared" si="10"/>
        <v>435.04288267791549</v>
      </c>
      <c r="N118" s="1148">
        <f t="shared" si="11"/>
        <v>9.9186801426290647E-2</v>
      </c>
      <c r="O118" s="1144">
        <f t="shared" si="12"/>
        <v>10.081986570996916</v>
      </c>
      <c r="P118" s="166"/>
      <c r="Q118" s="1145">
        <f t="shared" si="13"/>
        <v>3.3337080327078152</v>
      </c>
      <c r="R118" s="318"/>
      <c r="S118" s="318"/>
      <c r="T118" s="318"/>
      <c r="U118" s="318"/>
      <c r="V118" s="318"/>
      <c r="W118" s="318"/>
      <c r="X118" s="318"/>
      <c r="Y118" s="318"/>
      <c r="Z118" s="318"/>
      <c r="AA118" s="318"/>
    </row>
    <row r="119" spans="2:27">
      <c r="B119" s="1139">
        <f>B99</f>
        <v>200</v>
      </c>
      <c r="C119" s="1146">
        <f>C99</f>
        <v>50</v>
      </c>
      <c r="D119" s="1147">
        <f>D118*D92</f>
        <v>74.445964538515582</v>
      </c>
      <c r="E119" s="224" t="s">
        <v>2506</v>
      </c>
      <c r="F119" s="860">
        <f t="shared" si="6"/>
        <v>0.48891929077031171</v>
      </c>
      <c r="G119" s="224" t="s">
        <v>2506</v>
      </c>
      <c r="H119" s="1141">
        <f t="shared" si="7"/>
        <v>2.0453273554096429</v>
      </c>
      <c r="I119" s="879">
        <f t="shared" si="8"/>
        <v>152.26636777048213</v>
      </c>
      <c r="J119" s="1142" t="s">
        <v>2507</v>
      </c>
      <c r="K119" s="225" t="s">
        <v>2497</v>
      </c>
      <c r="L119" s="860">
        <f t="shared" si="9"/>
        <v>0.48891929077031177</v>
      </c>
      <c r="M119" s="879">
        <f t="shared" si="10"/>
        <v>409.06547108192859</v>
      </c>
      <c r="N119" s="1148">
        <f t="shared" si="11"/>
        <v>0.10782811984483028</v>
      </c>
      <c r="O119" s="1144">
        <f t="shared" si="12"/>
        <v>9.2740187016062876</v>
      </c>
      <c r="P119" s="166"/>
      <c r="Q119" s="1145">
        <f t="shared" si="13"/>
        <v>3.2131946359951047</v>
      </c>
      <c r="R119" s="318"/>
      <c r="S119" s="318"/>
      <c r="T119" s="318"/>
      <c r="U119" s="318"/>
      <c r="V119" s="318"/>
      <c r="W119" s="318"/>
      <c r="X119" s="318"/>
      <c r="Y119" s="318"/>
      <c r="Z119" s="318"/>
      <c r="AA119" s="318"/>
    </row>
    <row r="120" spans="2:27">
      <c r="B120" s="1139">
        <f>B99</f>
        <v>200</v>
      </c>
      <c r="C120" s="1146">
        <f>C99</f>
        <v>50</v>
      </c>
      <c r="D120" s="1147">
        <f>D119*D92</f>
        <v>75.934883829285894</v>
      </c>
      <c r="E120" s="224" t="s">
        <v>2506</v>
      </c>
      <c r="F120" s="860">
        <f t="shared" si="6"/>
        <v>0.51869767658571786</v>
      </c>
      <c r="G120" s="224" t="s">
        <v>2506</v>
      </c>
      <c r="H120" s="1141">
        <f t="shared" si="7"/>
        <v>1.9279053004100821</v>
      </c>
      <c r="I120" s="879">
        <f t="shared" si="8"/>
        <v>146.3952650205041</v>
      </c>
      <c r="J120" s="1142" t="s">
        <v>2507</v>
      </c>
      <c r="K120" s="225" t="s">
        <v>2497</v>
      </c>
      <c r="L120" s="860">
        <f t="shared" si="9"/>
        <v>0.51869767658571786</v>
      </c>
      <c r="M120" s="879">
        <f t="shared" si="10"/>
        <v>385.58106008201639</v>
      </c>
      <c r="N120" s="1148">
        <f t="shared" si="11"/>
        <v>0.11665032368960424</v>
      </c>
      <c r="O120" s="1144">
        <f t="shared" si="12"/>
        <v>8.5726294481694527</v>
      </c>
      <c r="P120" s="166"/>
      <c r="Q120" s="1145">
        <f t="shared" si="13"/>
        <v>3.0997377842670168</v>
      </c>
      <c r="R120" s="318"/>
      <c r="S120" s="318"/>
      <c r="T120" s="318"/>
      <c r="U120" s="318"/>
      <c r="V120" s="318"/>
      <c r="W120" s="318"/>
      <c r="X120" s="318"/>
      <c r="Y120" s="318"/>
      <c r="Z120" s="318"/>
      <c r="AA120" s="318"/>
    </row>
    <row r="121" spans="2:27">
      <c r="B121" s="1139">
        <f>B99</f>
        <v>200</v>
      </c>
      <c r="C121" s="1146">
        <f>C99</f>
        <v>50</v>
      </c>
      <c r="D121" s="1147">
        <f>D120*D92</f>
        <v>77.453581505871611</v>
      </c>
      <c r="E121" s="224" t="s">
        <v>2506</v>
      </c>
      <c r="F121" s="860">
        <f t="shared" si="6"/>
        <v>0.54907163011743232</v>
      </c>
      <c r="G121" s="224" t="s">
        <v>2506</v>
      </c>
      <c r="H121" s="1141">
        <f t="shared" si="7"/>
        <v>1.821255998577318</v>
      </c>
      <c r="I121" s="879">
        <f t="shared" si="8"/>
        <v>141.0627999288659</v>
      </c>
      <c r="J121" s="1142" t="s">
        <v>2507</v>
      </c>
      <c r="K121" s="225" t="s">
        <v>2497</v>
      </c>
      <c r="L121" s="860">
        <f t="shared" si="9"/>
        <v>0.54907163011743232</v>
      </c>
      <c r="M121" s="879">
        <f t="shared" si="10"/>
        <v>364.2511997154636</v>
      </c>
      <c r="N121" s="1148">
        <f t="shared" si="11"/>
        <v>0.12563626271685699</v>
      </c>
      <c r="O121" s="1144">
        <f t="shared" si="12"/>
        <v>7.9594854095084999</v>
      </c>
      <c r="P121" s="166"/>
      <c r="Q121" s="1145">
        <f t="shared" si="13"/>
        <v>2.9926751617804692</v>
      </c>
      <c r="R121" s="318"/>
      <c r="S121" s="318"/>
      <c r="T121" s="318"/>
      <c r="U121" s="318"/>
      <c r="V121" s="318"/>
      <c r="W121" s="318"/>
      <c r="X121" s="318"/>
      <c r="Y121" s="318"/>
      <c r="Z121" s="318"/>
      <c r="AA121" s="318"/>
    </row>
    <row r="122" spans="2:27">
      <c r="B122" s="1139">
        <f>B99</f>
        <v>200</v>
      </c>
      <c r="C122" s="1146">
        <f>C99</f>
        <v>50</v>
      </c>
      <c r="D122" s="1147">
        <f>D121*D92</f>
        <v>79.00265313598905</v>
      </c>
      <c r="E122" s="224" t="s">
        <v>2506</v>
      </c>
      <c r="F122" s="860">
        <f t="shared" si="6"/>
        <v>0.58005306271978108</v>
      </c>
      <c r="G122" s="224" t="s">
        <v>2506</v>
      </c>
      <c r="H122" s="1141">
        <f t="shared" si="7"/>
        <v>1.7239802084849811</v>
      </c>
      <c r="I122" s="879">
        <f t="shared" si="8"/>
        <v>136.19901042424905</v>
      </c>
      <c r="J122" s="1142" t="s">
        <v>2507</v>
      </c>
      <c r="K122" s="225" t="s">
        <v>2497</v>
      </c>
      <c r="L122" s="860">
        <f t="shared" si="9"/>
        <v>0.58005306271978108</v>
      </c>
      <c r="M122" s="879">
        <f t="shared" si="10"/>
        <v>344.79604169699621</v>
      </c>
      <c r="N122" s="1148">
        <f t="shared" si="11"/>
        <v>0.13476965120146847</v>
      </c>
      <c r="O122" s="1144">
        <f t="shared" si="12"/>
        <v>7.42006817621788</v>
      </c>
      <c r="P122" s="166"/>
      <c r="Q122" s="1145">
        <f t="shared" si="13"/>
        <v>2.8914324425117903</v>
      </c>
      <c r="R122" s="318"/>
      <c r="S122" s="318"/>
      <c r="T122" s="318"/>
      <c r="U122" s="318"/>
      <c r="V122" s="318"/>
      <c r="W122" s="318"/>
      <c r="X122" s="318"/>
      <c r="Y122" s="318"/>
      <c r="Z122" s="318"/>
      <c r="AA122" s="318"/>
    </row>
    <row r="123" spans="2:27">
      <c r="B123" s="1139">
        <f>B99</f>
        <v>200</v>
      </c>
      <c r="C123" s="1146">
        <f>C99</f>
        <v>50</v>
      </c>
      <c r="D123" s="1147">
        <f>D122*D92</f>
        <v>80.582706198708834</v>
      </c>
      <c r="E123" s="224" t="s">
        <v>2506</v>
      </c>
      <c r="F123" s="860">
        <f t="shared" si="6"/>
        <v>0.61165412397417662</v>
      </c>
      <c r="G123" s="224" t="s">
        <v>2506</v>
      </c>
      <c r="H123" s="1141">
        <f t="shared" si="7"/>
        <v>1.6349109092939247</v>
      </c>
      <c r="I123" s="879">
        <f t="shared" si="8"/>
        <v>131.74554546469625</v>
      </c>
      <c r="J123" s="1142" t="s">
        <v>2507</v>
      </c>
      <c r="K123" s="225" t="s">
        <v>2497</v>
      </c>
      <c r="L123" s="860">
        <f t="shared" si="9"/>
        <v>0.61165412397417651</v>
      </c>
      <c r="M123" s="879">
        <f t="shared" si="10"/>
        <v>326.98218185878494</v>
      </c>
      <c r="N123" s="1148">
        <f t="shared" si="11"/>
        <v>0.14403503047343075</v>
      </c>
      <c r="O123" s="1144">
        <f t="shared" si="12"/>
        <v>6.9427554999161396</v>
      </c>
      <c r="P123" s="166"/>
      <c r="Q123" s="1145">
        <f t="shared" si="13"/>
        <v>2.795508365552124</v>
      </c>
      <c r="R123" s="318"/>
      <c r="S123" s="318"/>
      <c r="T123" s="318"/>
      <c r="U123" s="318"/>
      <c r="V123" s="318"/>
      <c r="W123" s="318"/>
      <c r="X123" s="318"/>
      <c r="Y123" s="318"/>
      <c r="Z123" s="318"/>
      <c r="AA123" s="318"/>
    </row>
    <row r="124" spans="2:27">
      <c r="B124" s="1139">
        <f>B99</f>
        <v>200</v>
      </c>
      <c r="C124" s="1146">
        <f>C99</f>
        <v>50</v>
      </c>
      <c r="D124" s="1147">
        <f>D123*D92</f>
        <v>82.194360322683011</v>
      </c>
      <c r="E124" s="224" t="s">
        <v>2506</v>
      </c>
      <c r="F124" s="860">
        <f t="shared" si="6"/>
        <v>0.64388720645366027</v>
      </c>
      <c r="G124" s="224" t="s">
        <v>2506</v>
      </c>
      <c r="H124" s="1141">
        <f t="shared" si="7"/>
        <v>1.5530670433843583</v>
      </c>
      <c r="I124" s="879">
        <f t="shared" si="8"/>
        <v>127.65335216921791</v>
      </c>
      <c r="J124" s="1142" t="s">
        <v>2507</v>
      </c>
      <c r="K124" s="225" t="s">
        <v>2497</v>
      </c>
      <c r="L124" s="860">
        <f t="shared" si="9"/>
        <v>0.64388720645366027</v>
      </c>
      <c r="M124" s="879">
        <f t="shared" si="10"/>
        <v>310.61340867687164</v>
      </c>
      <c r="N124" s="1148">
        <f t="shared" si="11"/>
        <v>0.153417732985417</v>
      </c>
      <c r="O124" s="1144">
        <f t="shared" si="12"/>
        <v>6.5181513280153487</v>
      </c>
      <c r="P124" s="166"/>
      <c r="Q124" s="1145">
        <f t="shared" si="13"/>
        <v>2.7044628466519556</v>
      </c>
      <c r="R124" s="318"/>
      <c r="S124" s="318"/>
      <c r="T124" s="318"/>
      <c r="U124" s="318"/>
      <c r="V124" s="318"/>
      <c r="W124" s="318"/>
      <c r="X124" s="318"/>
      <c r="Y124" s="318"/>
      <c r="Z124" s="318"/>
      <c r="AA124" s="318"/>
    </row>
    <row r="125" spans="2:27">
      <c r="B125" s="1139">
        <f>B99</f>
        <v>200</v>
      </c>
      <c r="C125" s="1146">
        <f>C99</f>
        <v>50</v>
      </c>
      <c r="D125" s="1147">
        <f>D124*D92</f>
        <v>83.838247529136666</v>
      </c>
      <c r="E125" s="224" t="s">
        <v>2506</v>
      </c>
      <c r="F125" s="860">
        <f t="shared" si="6"/>
        <v>0.67676495058273334</v>
      </c>
      <c r="G125" s="224" t="s">
        <v>2506</v>
      </c>
      <c r="H125" s="1141">
        <f t="shared" si="7"/>
        <v>1.4776178925030659</v>
      </c>
      <c r="I125" s="879">
        <f t="shared" si="8"/>
        <v>123.88089462515329</v>
      </c>
      <c r="J125" s="1142" t="s">
        <v>2507</v>
      </c>
      <c r="K125" s="225" t="s">
        <v>2497</v>
      </c>
      <c r="L125" s="860">
        <f t="shared" si="9"/>
        <v>0.67676495058273334</v>
      </c>
      <c r="M125" s="879">
        <f t="shared" si="10"/>
        <v>295.52357850061316</v>
      </c>
      <c r="N125" s="1148">
        <f t="shared" si="11"/>
        <v>0.16290384785048961</v>
      </c>
      <c r="O125" s="1144">
        <f t="shared" si="12"/>
        <v>6.1385904212513323</v>
      </c>
      <c r="P125" s="166"/>
      <c r="Q125" s="1145">
        <f t="shared" si="13"/>
        <v>2.617907413619037</v>
      </c>
      <c r="R125" s="318"/>
      <c r="S125" s="318"/>
      <c r="T125" s="318"/>
      <c r="U125" s="318"/>
      <c r="V125" s="318"/>
      <c r="W125" s="318"/>
      <c r="X125" s="318"/>
      <c r="Y125" s="318"/>
      <c r="Z125" s="318"/>
      <c r="AA125" s="318"/>
    </row>
    <row r="126" spans="2:27">
      <c r="B126" s="1139">
        <f>B99</f>
        <v>200</v>
      </c>
      <c r="C126" s="1146">
        <f>C99</f>
        <v>50</v>
      </c>
      <c r="D126" s="1147">
        <f>D125*D92</f>
        <v>85.515012479719402</v>
      </c>
      <c r="E126" s="224" t="s">
        <v>2506</v>
      </c>
      <c r="F126" s="860">
        <f t="shared" si="6"/>
        <v>0.71030024959438798</v>
      </c>
      <c r="G126" s="224" t="s">
        <v>2506</v>
      </c>
      <c r="H126" s="1141">
        <f t="shared" si="7"/>
        <v>1.4078553408520453</v>
      </c>
      <c r="I126" s="879">
        <f t="shared" si="8"/>
        <v>120.39276704260227</v>
      </c>
      <c r="J126" s="1142" t="s">
        <v>2507</v>
      </c>
      <c r="K126" s="225" t="s">
        <v>2497</v>
      </c>
      <c r="L126" s="860">
        <f t="shared" si="9"/>
        <v>0.71030024959438798</v>
      </c>
      <c r="M126" s="879">
        <f t="shared" si="10"/>
        <v>281.57106817040909</v>
      </c>
      <c r="N126" s="1148">
        <f t="shared" si="11"/>
        <v>0.17248018779139598</v>
      </c>
      <c r="O126" s="1144">
        <f t="shared" si="12"/>
        <v>5.7977673424697196</v>
      </c>
      <c r="P126" s="166"/>
      <c r="Q126" s="1145">
        <f t="shared" si="13"/>
        <v>2.5354974409191846</v>
      </c>
      <c r="R126" s="318"/>
      <c r="S126" s="318"/>
      <c r="T126" s="318"/>
      <c r="U126" s="318"/>
      <c r="V126" s="318"/>
      <c r="W126" s="318"/>
      <c r="X126" s="318"/>
      <c r="Y126" s="318"/>
      <c r="Z126" s="318"/>
      <c r="AA126" s="318"/>
    </row>
    <row r="127" spans="2:27">
      <c r="B127" s="1139">
        <f>B99</f>
        <v>200</v>
      </c>
      <c r="C127" s="1146">
        <f>C99</f>
        <v>50</v>
      </c>
      <c r="D127" s="1147">
        <f>D126*D92</f>
        <v>87.225312729313785</v>
      </c>
      <c r="E127" s="224" t="s">
        <v>2506</v>
      </c>
      <c r="F127" s="860">
        <f t="shared" si="6"/>
        <v>0.74450625458627573</v>
      </c>
      <c r="G127" s="224" t="s">
        <v>2506</v>
      </c>
      <c r="H127" s="1141">
        <f t="shared" si="7"/>
        <v>1.3431720604626793</v>
      </c>
      <c r="I127" s="879">
        <f t="shared" si="8"/>
        <v>117.15860302313396</v>
      </c>
      <c r="J127" s="1142" t="s">
        <v>2507</v>
      </c>
      <c r="K127" s="225" t="s">
        <v>2497</v>
      </c>
      <c r="L127" s="860">
        <f t="shared" si="9"/>
        <v>0.74450625458627573</v>
      </c>
      <c r="M127" s="879">
        <f t="shared" si="10"/>
        <v>268.63441209253585</v>
      </c>
      <c r="N127" s="1148">
        <f t="shared" si="11"/>
        <v>0.18213425744519707</v>
      </c>
      <c r="O127" s="1144">
        <f t="shared" si="12"/>
        <v>5.4904553049329179</v>
      </c>
      <c r="P127" s="166"/>
      <c r="Q127" s="1145">
        <f t="shared" si="13"/>
        <v>2.456925792023227</v>
      </c>
      <c r="R127" s="318"/>
      <c r="S127" s="318"/>
      <c r="T127" s="318"/>
      <c r="U127" s="318"/>
      <c r="V127" s="318"/>
      <c r="W127" s="318"/>
      <c r="X127" s="318"/>
      <c r="Y127" s="318"/>
      <c r="Z127" s="318"/>
      <c r="AA127" s="318"/>
    </row>
    <row r="128" spans="2:27">
      <c r="B128" s="1139">
        <f>B99</f>
        <v>200</v>
      </c>
      <c r="C128" s="1146">
        <f>C99</f>
        <v>50</v>
      </c>
      <c r="D128" s="1147">
        <f>D127*D92</f>
        <v>88.969818983900069</v>
      </c>
      <c r="E128" s="224" t="s">
        <v>2506</v>
      </c>
      <c r="F128" s="860">
        <f t="shared" si="6"/>
        <v>0.77939637967800146</v>
      </c>
      <c r="G128" s="224" t="s">
        <v>2506</v>
      </c>
      <c r="H128" s="1141">
        <f t="shared" si="7"/>
        <v>1.283044194294485</v>
      </c>
      <c r="I128" s="879">
        <f t="shared" si="8"/>
        <v>114.15220971472425</v>
      </c>
      <c r="J128" s="1142" t="s">
        <v>2507</v>
      </c>
      <c r="K128" s="225" t="s">
        <v>2497</v>
      </c>
      <c r="L128" s="860">
        <f t="shared" si="9"/>
        <v>0.77939637967800146</v>
      </c>
      <c r="M128" s="879">
        <f t="shared" si="10"/>
        <v>256.608838858897</v>
      </c>
      <c r="N128" s="1148">
        <f t="shared" si="11"/>
        <v>0.19185422296919</v>
      </c>
      <c r="O128" s="1144">
        <f t="shared" si="12"/>
        <v>5.2122907931017535</v>
      </c>
      <c r="P128" s="166"/>
      <c r="Q128" s="1145">
        <f t="shared" si="13"/>
        <v>2.3819175739411507</v>
      </c>
      <c r="R128" s="318"/>
      <c r="S128" s="318"/>
      <c r="T128" s="318"/>
      <c r="U128" s="318"/>
      <c r="V128" s="318"/>
      <c r="W128" s="318"/>
      <c r="X128" s="318"/>
      <c r="Y128" s="318"/>
      <c r="Z128" s="318"/>
      <c r="AA128" s="318"/>
    </row>
    <row r="129" spans="2:27">
      <c r="B129" s="1139">
        <f>B99</f>
        <v>200</v>
      </c>
      <c r="C129" s="1146">
        <f>C99</f>
        <v>50</v>
      </c>
      <c r="D129" s="1147">
        <f>D128*D92</f>
        <v>90.749215363578074</v>
      </c>
      <c r="E129" s="224" t="s">
        <v>2506</v>
      </c>
      <c r="F129" s="860">
        <f t="shared" si="6"/>
        <v>0.81498430727156146</v>
      </c>
      <c r="G129" s="224" t="s">
        <v>2506</v>
      </c>
      <c r="H129" s="1141">
        <f t="shared" si="7"/>
        <v>1.2270174911070888</v>
      </c>
      <c r="I129" s="879">
        <f t="shared" si="8"/>
        <v>111.35087455535444</v>
      </c>
      <c r="J129" s="1142" t="s">
        <v>2507</v>
      </c>
      <c r="K129" s="225" t="s">
        <v>2497</v>
      </c>
      <c r="L129" s="860">
        <f t="shared" si="9"/>
        <v>0.81498430727156146</v>
      </c>
      <c r="M129" s="879">
        <f t="shared" si="10"/>
        <v>245.40349822141775</v>
      </c>
      <c r="N129" s="1148">
        <f t="shared" si="11"/>
        <v>0.20162888289621059</v>
      </c>
      <c r="O129" s="1144">
        <f t="shared" si="12"/>
        <v>4.9596069056969121</v>
      </c>
      <c r="P129" s="166"/>
      <c r="Q129" s="1145">
        <f t="shared" si="13"/>
        <v>2.3102257783388418</v>
      </c>
      <c r="R129" s="318"/>
      <c r="S129" s="318"/>
      <c r="T129" s="318"/>
      <c r="U129" s="318"/>
      <c r="V129" s="318"/>
      <c r="W129" s="318"/>
      <c r="X129" s="318"/>
      <c r="Y129" s="318"/>
      <c r="Z129" s="318"/>
      <c r="AA129" s="318"/>
    </row>
    <row r="130" spans="2:27">
      <c r="B130" s="1139">
        <f>B99</f>
        <v>200</v>
      </c>
      <c r="C130" s="1146">
        <f>C99</f>
        <v>50</v>
      </c>
      <c r="D130" s="1147">
        <f>D129*D92</f>
        <v>92.564199670849632</v>
      </c>
      <c r="E130" s="224" t="s">
        <v>2506</v>
      </c>
      <c r="F130" s="860">
        <f t="shared" si="6"/>
        <v>0.85128399341699268</v>
      </c>
      <c r="G130" s="224" t="s">
        <v>2506</v>
      </c>
      <c r="H130" s="1141">
        <f t="shared" si="7"/>
        <v>1.1746961152013113</v>
      </c>
      <c r="I130" s="879">
        <f t="shared" si="8"/>
        <v>108.73480576006557</v>
      </c>
      <c r="J130" s="1142" t="s">
        <v>2507</v>
      </c>
      <c r="K130" s="225" t="s">
        <v>2497</v>
      </c>
      <c r="L130" s="860">
        <f t="shared" si="9"/>
        <v>0.85128399341699268</v>
      </c>
      <c r="M130" s="879">
        <f t="shared" si="10"/>
        <v>234.93922304026228</v>
      </c>
      <c r="N130" s="1148">
        <f t="shared" si="11"/>
        <v>0.21144764018944667</v>
      </c>
      <c r="O130" s="1144">
        <f t="shared" si="12"/>
        <v>4.7293031934716758</v>
      </c>
      <c r="P130" s="166"/>
      <c r="Q130" s="1145">
        <f t="shared" si="13"/>
        <v>2.2416276352819628</v>
      </c>
      <c r="R130" s="318"/>
      <c r="S130" s="318"/>
      <c r="T130" s="318"/>
      <c r="U130" s="318"/>
      <c r="V130" s="318"/>
      <c r="W130" s="318"/>
      <c r="X130" s="318"/>
      <c r="Y130" s="318"/>
      <c r="Z130" s="318"/>
      <c r="AA130" s="318"/>
    </row>
    <row r="131" spans="2:27">
      <c r="B131" s="1139">
        <f>B99</f>
        <v>200</v>
      </c>
      <c r="C131" s="1146">
        <f>C99</f>
        <v>50</v>
      </c>
      <c r="D131" s="1147">
        <f>D130*D92</f>
        <v>94.415483664266631</v>
      </c>
      <c r="E131" s="224" t="s">
        <v>2506</v>
      </c>
      <c r="F131" s="860">
        <f t="shared" si="6"/>
        <v>0.88830967328533261</v>
      </c>
      <c r="G131" s="224" t="s">
        <v>2506</v>
      </c>
      <c r="H131" s="1141">
        <f t="shared" si="7"/>
        <v>1.1257335477408354</v>
      </c>
      <c r="I131" s="879">
        <f t="shared" si="8"/>
        <v>106.28667738704178</v>
      </c>
      <c r="J131" s="1142" t="s">
        <v>2507</v>
      </c>
      <c r="K131" s="225" t="s">
        <v>2497</v>
      </c>
      <c r="L131" s="860">
        <f t="shared" si="9"/>
        <v>0.88830967328533261</v>
      </c>
      <c r="M131" s="879">
        <f t="shared" si="10"/>
        <v>225.14670954816711</v>
      </c>
      <c r="N131" s="1148">
        <f t="shared" si="11"/>
        <v>0.22130047544885204</v>
      </c>
      <c r="O131" s="1144">
        <f t="shared" si="12"/>
        <v>4.5187431159908398</v>
      </c>
      <c r="P131" s="166"/>
      <c r="Q131" s="1145">
        <f t="shared" si="13"/>
        <v>2.1759215442140314</v>
      </c>
      <c r="R131" s="318"/>
      <c r="S131" s="318"/>
      <c r="T131" s="318"/>
      <c r="U131" s="318"/>
      <c r="V131" s="318"/>
      <c r="W131" s="318"/>
      <c r="X131" s="318"/>
      <c r="Y131" s="318"/>
      <c r="Z131" s="318"/>
      <c r="AA131" s="318"/>
    </row>
    <row r="132" spans="2:27">
      <c r="B132" s="1139">
        <f>B99</f>
        <v>200</v>
      </c>
      <c r="C132" s="1146">
        <f>C99</f>
        <v>50</v>
      </c>
      <c r="D132" s="1147">
        <f>D131*D92</f>
        <v>96.303793337551966</v>
      </c>
      <c r="E132" s="224" t="s">
        <v>2506</v>
      </c>
      <c r="F132" s="860">
        <f t="shared" si="6"/>
        <v>0.92607586675103937</v>
      </c>
      <c r="G132" s="224" t="s">
        <v>2506</v>
      </c>
      <c r="H132" s="1141">
        <f t="shared" si="7"/>
        <v>1.0798251373381635</v>
      </c>
      <c r="I132" s="879">
        <f t="shared" si="8"/>
        <v>103.99125686690817</v>
      </c>
      <c r="J132" s="1142" t="s">
        <v>2507</v>
      </c>
      <c r="K132" s="225" t="s">
        <v>2497</v>
      </c>
      <c r="L132" s="860">
        <f t="shared" si="9"/>
        <v>0.92607586675103937</v>
      </c>
      <c r="M132" s="879">
        <f t="shared" si="10"/>
        <v>215.96502746763269</v>
      </c>
      <c r="N132" s="1148">
        <f t="shared" si="11"/>
        <v>0.23117792122314207</v>
      </c>
      <c r="O132" s="1144">
        <f t="shared" si="12"/>
        <v>4.3256726019037108</v>
      </c>
      <c r="P132" s="166"/>
      <c r="Q132" s="1145">
        <f t="shared" si="13"/>
        <v>2.1129244758675418</v>
      </c>
      <c r="R132" s="318"/>
      <c r="S132" s="318"/>
      <c r="T132" s="318"/>
      <c r="U132" s="318"/>
      <c r="V132" s="318"/>
      <c r="W132" s="318"/>
      <c r="X132" s="318"/>
      <c r="Y132" s="318"/>
      <c r="Z132" s="318"/>
      <c r="AA132" s="318"/>
    </row>
    <row r="133" spans="2:27">
      <c r="B133" s="1139">
        <f>B99</f>
        <v>200</v>
      </c>
      <c r="C133" s="1146">
        <f>C99</f>
        <v>50</v>
      </c>
      <c r="D133" s="1147">
        <f>D132*D92</f>
        <v>98.229869204303</v>
      </c>
      <c r="E133" s="224" t="s">
        <v>2506</v>
      </c>
      <c r="F133" s="860">
        <f t="shared" si="6"/>
        <v>0.96459738408605999</v>
      </c>
      <c r="G133" s="224" t="s">
        <v>2506</v>
      </c>
      <c r="H133" s="1141">
        <f t="shared" si="7"/>
        <v>1.0367019613550823</v>
      </c>
      <c r="I133" s="879">
        <f t="shared" si="8"/>
        <v>101.83509806775412</v>
      </c>
      <c r="J133" s="1142" t="s">
        <v>2507</v>
      </c>
      <c r="K133" s="225" t="s">
        <v>2497</v>
      </c>
      <c r="L133" s="860">
        <f t="shared" si="9"/>
        <v>0.96459738408605999</v>
      </c>
      <c r="M133" s="879">
        <f t="shared" si="10"/>
        <v>207.34039227101647</v>
      </c>
      <c r="N133" s="1148">
        <f t="shared" si="11"/>
        <v>0.24107103738316113</v>
      </c>
      <c r="O133" s="1144">
        <f t="shared" si="12"/>
        <v>4.1481548793876399</v>
      </c>
      <c r="P133" s="166"/>
      <c r="Q133" s="1145">
        <f t="shared" si="13"/>
        <v>2.052469760967214</v>
      </c>
      <c r="R133" s="318"/>
      <c r="S133" s="318"/>
      <c r="T133" s="318"/>
      <c r="U133" s="318"/>
      <c r="V133" s="318"/>
      <c r="W133" s="318"/>
      <c r="X133" s="318"/>
      <c r="Y133" s="318"/>
      <c r="Z133" s="318"/>
      <c r="AA133" s="318"/>
    </row>
    <row r="134" spans="2:27">
      <c r="B134" s="1139">
        <f>B99</f>
        <v>200</v>
      </c>
      <c r="C134" s="1146">
        <f>C99</f>
        <v>50</v>
      </c>
      <c r="D134" s="1147">
        <f>D133*D92</f>
        <v>100.19446658838906</v>
      </c>
      <c r="E134" s="224" t="s">
        <v>2506</v>
      </c>
      <c r="F134" s="860">
        <f t="shared" si="6"/>
        <v>1.0038893317677813</v>
      </c>
      <c r="G134" s="224" t="s">
        <v>2506</v>
      </c>
      <c r="H134" s="1141">
        <f t="shared" si="7"/>
        <v>0.99612573652821623</v>
      </c>
      <c r="I134" s="879">
        <f t="shared" si="8"/>
        <v>99.806286826410812</v>
      </c>
      <c r="J134" s="1142" t="s">
        <v>2507</v>
      </c>
      <c r="K134" s="225" t="s">
        <v>2497</v>
      </c>
      <c r="L134" s="860">
        <f t="shared" si="9"/>
        <v>1.0038893317677813</v>
      </c>
      <c r="M134" s="879">
        <f t="shared" si="10"/>
        <v>199.22514730564325</v>
      </c>
      <c r="N134" s="1148">
        <f t="shared" si="11"/>
        <v>0.25097138751415682</v>
      </c>
      <c r="O134" s="1144">
        <f t="shared" si="12"/>
        <v>3.9845179560303143</v>
      </c>
      <c r="P134" s="166"/>
      <c r="Q134" s="1145">
        <f t="shared" si="13"/>
        <v>1.9944051986172753</v>
      </c>
      <c r="R134" s="318"/>
      <c r="S134" s="318"/>
      <c r="T134" s="318"/>
      <c r="U134" s="318"/>
      <c r="V134" s="318"/>
      <c r="W134" s="318"/>
      <c r="X134" s="318"/>
      <c r="Y134" s="318"/>
      <c r="Z134" s="318"/>
      <c r="AA134" s="318"/>
    </row>
    <row r="135" spans="2:27">
      <c r="B135" s="1139">
        <f>B99</f>
        <v>200</v>
      </c>
      <c r="C135" s="1146">
        <f>C99</f>
        <v>50</v>
      </c>
      <c r="D135" s="1147">
        <f>D134*D92</f>
        <v>102.19835592015684</v>
      </c>
      <c r="E135" s="224" t="s">
        <v>2506</v>
      </c>
      <c r="F135" s="860">
        <f t="shared" si="6"/>
        <v>1.0439671184031369</v>
      </c>
      <c r="G135" s="224" t="s">
        <v>2506</v>
      </c>
      <c r="H135" s="1141">
        <f t="shared" si="7"/>
        <v>0.95788457545445538</v>
      </c>
      <c r="I135" s="879">
        <f t="shared" si="8"/>
        <v>97.894228772722769</v>
      </c>
      <c r="J135" s="1142" t="s">
        <v>2507</v>
      </c>
      <c r="K135" s="225" t="s">
        <v>2497</v>
      </c>
      <c r="L135" s="860">
        <f t="shared" si="9"/>
        <v>1.0439671184031369</v>
      </c>
      <c r="M135" s="879">
        <f t="shared" si="10"/>
        <v>191.57691509089108</v>
      </c>
      <c r="N135" s="1148">
        <f t="shared" si="11"/>
        <v>0.26087101628616399</v>
      </c>
      <c r="O135" s="1144">
        <f t="shared" si="12"/>
        <v>3.833312010802473</v>
      </c>
      <c r="P135" s="166"/>
      <c r="Q135" s="1145">
        <f t="shared" si="13"/>
        <v>1.9385914304675733</v>
      </c>
      <c r="R135" s="318"/>
      <c r="S135" s="318"/>
      <c r="T135" s="318"/>
      <c r="U135" s="318"/>
      <c r="V135" s="318"/>
      <c r="W135" s="318"/>
      <c r="X135" s="318"/>
      <c r="Y135" s="318"/>
      <c r="Z135" s="318"/>
      <c r="AA135" s="318"/>
    </row>
    <row r="136" spans="2:27">
      <c r="B136" s="1139">
        <f>B99</f>
        <v>200</v>
      </c>
      <c r="C136" s="1146">
        <f>C99</f>
        <v>50</v>
      </c>
      <c r="D136" s="1147">
        <f>D135*D92</f>
        <v>104.24232303855999</v>
      </c>
      <c r="E136" s="224" t="s">
        <v>2506</v>
      </c>
      <c r="F136" s="860">
        <f t="shared" si="6"/>
        <v>1.0848464607711996</v>
      </c>
      <c r="G136" s="224" t="s">
        <v>2506</v>
      </c>
      <c r="H136" s="1141">
        <f t="shared" si="7"/>
        <v>0.92178942934386898</v>
      </c>
      <c r="I136" s="879">
        <f t="shared" si="8"/>
        <v>96.089471467193448</v>
      </c>
      <c r="J136" s="1142" t="s">
        <v>2507</v>
      </c>
      <c r="K136" s="225" t="s">
        <v>2497</v>
      </c>
      <c r="L136" s="860">
        <f t="shared" si="9"/>
        <v>1.0848464607711996</v>
      </c>
      <c r="M136" s="879">
        <f t="shared" si="10"/>
        <v>184.35788586877379</v>
      </c>
      <c r="N136" s="1148">
        <f t="shared" si="11"/>
        <v>0.27076242776331827</v>
      </c>
      <c r="O136" s="1144">
        <f t="shared" si="12"/>
        <v>3.6932746107378334</v>
      </c>
      <c r="P136" s="166"/>
      <c r="Q136" s="1145">
        <f t="shared" si="13"/>
        <v>1.884900537068428</v>
      </c>
      <c r="R136" s="318"/>
      <c r="S136" s="318"/>
      <c r="T136" s="318"/>
      <c r="U136" s="318"/>
      <c r="V136" s="318"/>
      <c r="W136" s="318"/>
      <c r="X136" s="318"/>
      <c r="Y136" s="318"/>
      <c r="Z136" s="318"/>
      <c r="AA136" s="318"/>
    </row>
    <row r="137" spans="2:27">
      <c r="B137" s="1139">
        <f>B99</f>
        <v>200</v>
      </c>
      <c r="C137" s="1146">
        <f>C99</f>
        <v>50</v>
      </c>
      <c r="D137" s="1147">
        <f>D136*D92</f>
        <v>106.32716949933119</v>
      </c>
      <c r="E137" s="224" t="s">
        <v>2506</v>
      </c>
      <c r="F137" s="860">
        <f t="shared" si="6"/>
        <v>1.1265433899866237</v>
      </c>
      <c r="G137" s="224" t="s">
        <v>2506</v>
      </c>
      <c r="H137" s="1141">
        <f t="shared" si="7"/>
        <v>0.88767109095715679</v>
      </c>
      <c r="I137" s="879">
        <f t="shared" si="8"/>
        <v>94.383554547857841</v>
      </c>
      <c r="J137" s="1142" t="s">
        <v>2507</v>
      </c>
      <c r="K137" s="225" t="s">
        <v>2497</v>
      </c>
      <c r="L137" s="860">
        <f t="shared" si="9"/>
        <v>1.1265433899866237</v>
      </c>
      <c r="M137" s="879">
        <f t="shared" si="10"/>
        <v>177.53421819143134</v>
      </c>
      <c r="N137" s="1148">
        <f t="shared" si="11"/>
        <v>0.28063856461445541</v>
      </c>
      <c r="O137" s="1144">
        <f t="shared" si="12"/>
        <v>3.5633021476353823</v>
      </c>
      <c r="P137" s="166"/>
      <c r="Q137" s="1145">
        <f t="shared" si="13"/>
        <v>1.833214820943414</v>
      </c>
      <c r="R137" s="318"/>
      <c r="S137" s="318"/>
      <c r="T137" s="318"/>
      <c r="U137" s="318"/>
      <c r="V137" s="318"/>
      <c r="W137" s="318"/>
      <c r="X137" s="318"/>
      <c r="Y137" s="318"/>
      <c r="Z137" s="318"/>
      <c r="AA137" s="318"/>
    </row>
    <row r="138" spans="2:27">
      <c r="B138" s="1139">
        <f>B99</f>
        <v>200</v>
      </c>
      <c r="C138" s="1146">
        <f>C99</f>
        <v>50</v>
      </c>
      <c r="D138" s="1147">
        <f>D137*D92</f>
        <v>108.45371288931781</v>
      </c>
      <c r="E138" s="224" t="s">
        <v>2506</v>
      </c>
      <c r="F138" s="860">
        <f t="shared" si="6"/>
        <v>1.1690742577863564</v>
      </c>
      <c r="G138" s="224" t="s">
        <v>2506</v>
      </c>
      <c r="H138" s="1141">
        <f t="shared" si="7"/>
        <v>0.85537765744111183</v>
      </c>
      <c r="I138" s="879">
        <f t="shared" si="8"/>
        <v>92.768882872055599</v>
      </c>
      <c r="J138" s="1142" t="s">
        <v>2507</v>
      </c>
      <c r="K138" s="225" t="s">
        <v>2497</v>
      </c>
      <c r="L138" s="860">
        <f t="shared" si="9"/>
        <v>1.1690742577863562</v>
      </c>
      <c r="M138" s="879">
        <f t="shared" si="10"/>
        <v>171.0755314882224</v>
      </c>
      <c r="N138" s="1148">
        <f t="shared" si="11"/>
        <v>0.29049278818884289</v>
      </c>
      <c r="O138" s="1144">
        <f t="shared" si="12"/>
        <v>3.4424262517316686</v>
      </c>
      <c r="P138" s="166"/>
      <c r="Q138" s="1145">
        <f t="shared" si="13"/>
        <v>1.7834257473447945</v>
      </c>
      <c r="R138" s="318"/>
      <c r="S138" s="318"/>
      <c r="T138" s="318"/>
      <c r="U138" s="318"/>
      <c r="V138" s="318"/>
      <c r="W138" s="318"/>
      <c r="X138" s="318"/>
      <c r="Y138" s="318"/>
      <c r="Z138" s="318"/>
      <c r="AA138" s="318"/>
    </row>
    <row r="139" spans="2:27">
      <c r="B139" s="1139">
        <f>B99</f>
        <v>200</v>
      </c>
      <c r="C139" s="1146">
        <f>C99</f>
        <v>50</v>
      </c>
      <c r="D139" s="1147">
        <f>D138*D92</f>
        <v>110.62278714710418</v>
      </c>
      <c r="E139" s="224" t="s">
        <v>2506</v>
      </c>
      <c r="F139" s="860">
        <f t="shared" si="6"/>
        <v>1.2124557429420837</v>
      </c>
      <c r="G139" s="224" t="s">
        <v>2506</v>
      </c>
      <c r="H139" s="1141">
        <f t="shared" si="7"/>
        <v>0.82477237278240823</v>
      </c>
      <c r="I139" s="879">
        <f t="shared" si="8"/>
        <v>91.238618639120403</v>
      </c>
      <c r="J139" s="1142" t="s">
        <v>2507</v>
      </c>
      <c r="K139" s="225" t="s">
        <v>2497</v>
      </c>
      <c r="L139" s="860">
        <f t="shared" si="9"/>
        <v>1.2124557429420837</v>
      </c>
      <c r="M139" s="879">
        <f t="shared" si="10"/>
        <v>164.95447455648164</v>
      </c>
      <c r="N139" s="1148">
        <f t="shared" si="11"/>
        <v>0.30031885942231562</v>
      </c>
      <c r="O139" s="1144">
        <f t="shared" si="12"/>
        <v>3.32979421246994</v>
      </c>
      <c r="P139" s="166"/>
      <c r="Q139" s="1145">
        <f t="shared" si="13"/>
        <v>1.7354330187911193</v>
      </c>
      <c r="R139" s="318"/>
      <c r="S139" s="318"/>
      <c r="T139" s="318"/>
      <c r="U139" s="318"/>
      <c r="V139" s="318"/>
      <c r="W139" s="318"/>
      <c r="X139" s="318"/>
      <c r="Y139" s="318"/>
      <c r="Z139" s="318"/>
      <c r="AA139" s="318"/>
    </row>
    <row r="140" spans="2:27">
      <c r="B140" s="1139">
        <f>B99</f>
        <v>200</v>
      </c>
      <c r="C140" s="1146">
        <f>C99</f>
        <v>50</v>
      </c>
      <c r="D140" s="1147">
        <f>D139*D92</f>
        <v>112.83524289004626</v>
      </c>
      <c r="E140" s="224" t="s">
        <v>2506</v>
      </c>
      <c r="F140" s="860">
        <f t="shared" si="6"/>
        <v>1.256704857800925</v>
      </c>
      <c r="G140" s="224" t="s">
        <v>2506</v>
      </c>
      <c r="H140" s="1141">
        <f t="shared" si="7"/>
        <v>0.79573178522590726</v>
      </c>
      <c r="I140" s="879">
        <f t="shared" si="8"/>
        <v>89.786589261295362</v>
      </c>
      <c r="J140" s="1142" t="s">
        <v>2507</v>
      </c>
      <c r="K140" s="225" t="s">
        <v>2497</v>
      </c>
      <c r="L140" s="860">
        <f t="shared" si="9"/>
        <v>1.2567048578009252</v>
      </c>
      <c r="M140" s="879">
        <f t="shared" si="10"/>
        <v>159.14635704518142</v>
      </c>
      <c r="N140" s="1148">
        <f t="shared" si="11"/>
        <v>0.31011092054045575</v>
      </c>
      <c r="O140" s="1144">
        <f t="shared" si="12"/>
        <v>3.2246526444706234</v>
      </c>
      <c r="P140" s="166"/>
      <c r="Q140" s="1145">
        <f t="shared" si="13"/>
        <v>1.689143763609029</v>
      </c>
      <c r="R140" s="318"/>
      <c r="S140" s="318"/>
      <c r="T140" s="318"/>
      <c r="U140" s="318"/>
      <c r="V140" s="318"/>
      <c r="W140" s="318"/>
      <c r="X140" s="318"/>
      <c r="Y140" s="318"/>
      <c r="Z140" s="318"/>
      <c r="AA140" s="318"/>
    </row>
    <row r="141" spans="2:27">
      <c r="B141" s="1139">
        <f>B99</f>
        <v>200</v>
      </c>
      <c r="C141" s="1146">
        <f>C99</f>
        <v>50</v>
      </c>
      <c r="D141" s="1147">
        <f>D140*D92</f>
        <v>115.09194774784719</v>
      </c>
      <c r="E141" s="224" t="s">
        <v>2506</v>
      </c>
      <c r="F141" s="860">
        <f t="shared" si="6"/>
        <v>1.3018389549569438</v>
      </c>
      <c r="G141" s="224" t="s">
        <v>2506</v>
      </c>
      <c r="H141" s="1141">
        <f t="shared" si="7"/>
        <v>0.76814416728916624</v>
      </c>
      <c r="I141" s="879">
        <f t="shared" si="8"/>
        <v>88.407208364458313</v>
      </c>
      <c r="J141" s="1142" t="s">
        <v>2507</v>
      </c>
      <c r="K141" s="225" t="s">
        <v>2497</v>
      </c>
      <c r="L141" s="860">
        <f t="shared" si="9"/>
        <v>1.3018389549569438</v>
      </c>
      <c r="M141" s="879">
        <f t="shared" si="10"/>
        <v>153.62883345783325</v>
      </c>
      <c r="N141" s="1148">
        <f t="shared" si="11"/>
        <v>0.31986347752678029</v>
      </c>
      <c r="O141" s="1144">
        <f t="shared" si="12"/>
        <v>3.1263337963186992</v>
      </c>
      <c r="P141" s="166"/>
      <c r="Q141" s="1145">
        <f t="shared" si="13"/>
        <v>1.6444718220306365</v>
      </c>
      <c r="R141" s="318"/>
      <c r="S141" s="318"/>
      <c r="T141" s="318"/>
      <c r="U141" s="318"/>
      <c r="V141" s="318"/>
      <c r="W141" s="318"/>
      <c r="X141" s="318"/>
      <c r="Y141" s="318"/>
      <c r="Z141" s="318"/>
      <c r="AA141" s="318"/>
    </row>
    <row r="142" spans="2:27">
      <c r="B142" s="1139">
        <f>B99</f>
        <v>200</v>
      </c>
      <c r="C142" s="1146">
        <f>C99</f>
        <v>50</v>
      </c>
      <c r="D142" s="1147">
        <f>D141*D92</f>
        <v>117.39378670280414</v>
      </c>
      <c r="E142" s="224" t="s">
        <v>2506</v>
      </c>
      <c r="F142" s="860">
        <f t="shared" si="6"/>
        <v>1.3478757340560827</v>
      </c>
      <c r="G142" s="224" t="s">
        <v>2506</v>
      </c>
      <c r="H142" s="1141">
        <f t="shared" si="7"/>
        <v>0.74190815572497859</v>
      </c>
      <c r="I142" s="879">
        <f t="shared" si="8"/>
        <v>87.095407786248927</v>
      </c>
      <c r="J142" s="1142" t="s">
        <v>2507</v>
      </c>
      <c r="K142" s="225" t="s">
        <v>2497</v>
      </c>
      <c r="L142" s="860">
        <f t="shared" si="9"/>
        <v>1.3478757340560827</v>
      </c>
      <c r="M142" s="879">
        <f t="shared" si="10"/>
        <v>148.38163114499571</v>
      </c>
      <c r="N142" s="1148">
        <f t="shared" si="11"/>
        <v>0.32957138332515629</v>
      </c>
      <c r="O142" s="1144">
        <f t="shared" si="12"/>
        <v>3.0342440229811958</v>
      </c>
      <c r="P142" s="166"/>
      <c r="Q142" s="1145">
        <f t="shared" si="13"/>
        <v>1.6013371161017451</v>
      </c>
      <c r="R142" s="318"/>
      <c r="S142" s="318"/>
      <c r="T142" s="318"/>
      <c r="U142" s="318"/>
      <c r="V142" s="318"/>
      <c r="W142" s="318"/>
      <c r="X142" s="318"/>
      <c r="Y142" s="318"/>
      <c r="Z142" s="318"/>
      <c r="AA142" s="318"/>
    </row>
    <row r="143" spans="2:27">
      <c r="B143" s="1139">
        <f>B99</f>
        <v>200</v>
      </c>
      <c r="C143" s="1146">
        <f>C99</f>
        <v>50</v>
      </c>
      <c r="D143" s="1147">
        <f>D142*D92</f>
        <v>119.74166243686022</v>
      </c>
      <c r="E143" s="224" t="s">
        <v>2506</v>
      </c>
      <c r="F143" s="860">
        <f t="shared" si="6"/>
        <v>1.3948332487372044</v>
      </c>
      <c r="G143" s="224" t="s">
        <v>2506</v>
      </c>
      <c r="H143" s="1141">
        <f t="shared" si="7"/>
        <v>0.71693157652023143</v>
      </c>
      <c r="I143" s="879">
        <f t="shared" si="8"/>
        <v>85.84657882601158</v>
      </c>
      <c r="J143" s="1142" t="s">
        <v>2507</v>
      </c>
      <c r="K143" s="225" t="s">
        <v>2497</v>
      </c>
      <c r="L143" s="860">
        <f t="shared" si="9"/>
        <v>1.3948332487372044</v>
      </c>
      <c r="M143" s="879">
        <f t="shared" si="10"/>
        <v>143.38631530404629</v>
      </c>
      <c r="N143" s="1148">
        <f t="shared" si="11"/>
        <v>0.33922982174688804</v>
      </c>
      <c r="O143" s="1144">
        <f t="shared" si="12"/>
        <v>2.9478540384522476</v>
      </c>
      <c r="P143" s="166"/>
      <c r="Q143" s="1145">
        <f t="shared" si="13"/>
        <v>1.5596650918636645</v>
      </c>
      <c r="R143" s="318"/>
      <c r="S143" s="318"/>
      <c r="T143" s="318"/>
      <c r="U143" s="318"/>
      <c r="V143" s="318"/>
      <c r="W143" s="318"/>
      <c r="X143" s="318"/>
      <c r="Y143" s="318"/>
      <c r="Z143" s="318"/>
      <c r="AA143" s="318"/>
    </row>
    <row r="144" spans="2:27">
      <c r="B144" s="1139">
        <f>B99</f>
        <v>200</v>
      </c>
      <c r="C144" s="1146">
        <f>C99</f>
        <v>50</v>
      </c>
      <c r="D144" s="1147">
        <f>D143*D92</f>
        <v>122.13649568559742</v>
      </c>
      <c r="E144" s="224" t="s">
        <v>2506</v>
      </c>
      <c r="F144" s="860">
        <f t="shared" si="6"/>
        <v>1.4427299137119487</v>
      </c>
      <c r="G144" s="224" t="s">
        <v>2506</v>
      </c>
      <c r="H144" s="1141">
        <f t="shared" si="7"/>
        <v>0.69313042621202425</v>
      </c>
      <c r="I144" s="879">
        <f t="shared" si="8"/>
        <v>84.656521310601221</v>
      </c>
      <c r="J144" s="1142" t="s">
        <v>2507</v>
      </c>
      <c r="K144" s="225" t="s">
        <v>2497</v>
      </c>
      <c r="L144" s="860">
        <f t="shared" si="9"/>
        <v>1.4427299137119485</v>
      </c>
      <c r="M144" s="879">
        <f t="shared" si="10"/>
        <v>138.62608524240488</v>
      </c>
      <c r="N144" s="1148">
        <f t="shared" si="11"/>
        <v>0.3488342920540855</v>
      </c>
      <c r="O144" s="1144">
        <f t="shared" si="12"/>
        <v>2.8666906401649115</v>
      </c>
      <c r="P144" s="166"/>
      <c r="Q144" s="1145">
        <f t="shared" si="13"/>
        <v>1.5193862240827924</v>
      </c>
      <c r="R144" s="318"/>
      <c r="S144" s="318"/>
      <c r="T144" s="318"/>
      <c r="U144" s="318"/>
      <c r="V144" s="318"/>
      <c r="W144" s="318"/>
      <c r="X144" s="318"/>
      <c r="Y144" s="318"/>
      <c r="Z144" s="318"/>
      <c r="AA144" s="318"/>
    </row>
    <row r="145" spans="2:27">
      <c r="B145" s="1139">
        <f>B99</f>
        <v>200</v>
      </c>
      <c r="C145" s="1146">
        <f>C99</f>
        <v>50</v>
      </c>
      <c r="D145" s="1147">
        <f>D144*D92</f>
        <v>124.57922559930938</v>
      </c>
      <c r="E145" s="224" t="s">
        <v>2506</v>
      </c>
      <c r="F145" s="860">
        <f t="shared" si="6"/>
        <v>1.4915845119861877</v>
      </c>
      <c r="G145" s="224" t="s">
        <v>2506</v>
      </c>
      <c r="H145" s="1141">
        <f t="shared" si="7"/>
        <v>0.67042798578566909</v>
      </c>
      <c r="I145" s="879">
        <f t="shared" si="8"/>
        <v>83.521399289283451</v>
      </c>
      <c r="J145" s="1142" t="s">
        <v>2507</v>
      </c>
      <c r="K145" s="225" t="s">
        <v>2497</v>
      </c>
      <c r="L145" s="860">
        <f t="shared" si="9"/>
        <v>1.4915845119861877</v>
      </c>
      <c r="M145" s="879">
        <f t="shared" si="10"/>
        <v>134.08559715713383</v>
      </c>
      <c r="N145" s="1148">
        <f t="shared" si="11"/>
        <v>0.35838059419204321</v>
      </c>
      <c r="O145" s="1144">
        <f t="shared" si="12"/>
        <v>2.7903296556959671</v>
      </c>
      <c r="P145" s="166"/>
      <c r="Q145" s="1145">
        <f t="shared" si="13"/>
        <v>1.4804355752956402</v>
      </c>
      <c r="R145" s="318"/>
      <c r="S145" s="318"/>
      <c r="T145" s="318"/>
      <c r="U145" s="318"/>
      <c r="V145" s="318"/>
      <c r="W145" s="318"/>
      <c r="X145" s="318"/>
      <c r="Y145" s="318"/>
      <c r="Z145" s="318"/>
      <c r="AA145" s="318"/>
    </row>
    <row r="146" spans="2:27">
      <c r="B146" s="1139">
        <f>B99</f>
        <v>200</v>
      </c>
      <c r="C146" s="1146">
        <f>C99</f>
        <v>50</v>
      </c>
      <c r="D146" s="1147">
        <f>D145*D92</f>
        <v>127.07081011129557</v>
      </c>
      <c r="E146" s="224" t="s">
        <v>2506</v>
      </c>
      <c r="F146" s="860">
        <f t="shared" si="6"/>
        <v>1.5414162022259115</v>
      </c>
      <c r="G146" s="224" t="s">
        <v>2506</v>
      </c>
      <c r="H146" s="1141">
        <f t="shared" si="7"/>
        <v>0.64875404745060483</v>
      </c>
      <c r="I146" s="879">
        <f t="shared" si="8"/>
        <v>82.437702372530239</v>
      </c>
      <c r="J146" s="1142" t="s">
        <v>2507</v>
      </c>
      <c r="K146" s="225" t="s">
        <v>2497</v>
      </c>
      <c r="L146" s="860">
        <f t="shared" si="9"/>
        <v>1.5414162022259115</v>
      </c>
      <c r="M146" s="879">
        <f t="shared" si="10"/>
        <v>129.75080949012096</v>
      </c>
      <c r="N146" s="1148">
        <f t="shared" si="11"/>
        <v>0.36786481464444309</v>
      </c>
      <c r="O146" s="1144">
        <f t="shared" si="12"/>
        <v>2.7183899089847512</v>
      </c>
      <c r="P146" s="166"/>
      <c r="Q146" s="1145">
        <f t="shared" si="13"/>
        <v>1.4427524021739566</v>
      </c>
      <c r="R146" s="318"/>
      <c r="S146" s="318"/>
      <c r="T146" s="318"/>
      <c r="U146" s="318"/>
      <c r="V146" s="318"/>
      <c r="W146" s="318"/>
      <c r="X146" s="318"/>
      <c r="Y146" s="318"/>
      <c r="Z146" s="318"/>
      <c r="AA146" s="318"/>
    </row>
    <row r="147" spans="2:27">
      <c r="B147" s="1139">
        <f>B99</f>
        <v>200</v>
      </c>
      <c r="C147" s="1146">
        <f>C99</f>
        <v>50</v>
      </c>
      <c r="D147" s="1147">
        <f>D146*D92</f>
        <v>129.61222631352149</v>
      </c>
      <c r="E147" s="224" t="s">
        <v>2506</v>
      </c>
      <c r="F147" s="860">
        <f t="shared" si="6"/>
        <v>1.5922445262704299</v>
      </c>
      <c r="G147" s="224" t="s">
        <v>2506</v>
      </c>
      <c r="H147" s="1141">
        <f t="shared" si="7"/>
        <v>0.62804423786736763</v>
      </c>
      <c r="I147" s="879">
        <f t="shared" si="8"/>
        <v>81.402211893368388</v>
      </c>
      <c r="J147" s="1142" t="s">
        <v>2507</v>
      </c>
      <c r="K147" s="225" t="s">
        <v>2497</v>
      </c>
      <c r="L147" s="860">
        <f t="shared" si="9"/>
        <v>1.5922445262704297</v>
      </c>
      <c r="M147" s="879">
        <f t="shared" si="10"/>
        <v>125.60884757347354</v>
      </c>
      <c r="N147" s="1148">
        <f t="shared" si="11"/>
        <v>0.37728331288622713</v>
      </c>
      <c r="O147" s="1144">
        <f t="shared" si="12"/>
        <v>2.6505280404531386</v>
      </c>
      <c r="P147" s="166"/>
      <c r="Q147" s="1145">
        <f t="shared" si="13"/>
        <v>1.4062798032436616</v>
      </c>
      <c r="R147" s="318"/>
      <c r="S147" s="318"/>
      <c r="T147" s="318"/>
      <c r="U147" s="318"/>
      <c r="V147" s="318"/>
      <c r="W147" s="318"/>
      <c r="X147" s="318"/>
      <c r="Y147" s="318"/>
      <c r="Z147" s="318"/>
      <c r="AA147" s="318"/>
    </row>
    <row r="148" spans="2:27">
      <c r="B148" s="1139">
        <f>B99</f>
        <v>200</v>
      </c>
      <c r="C148" s="1146">
        <f>C99</f>
        <v>50</v>
      </c>
      <c r="D148" s="1147">
        <f>D147*D92</f>
        <v>132.20447083979192</v>
      </c>
      <c r="E148" s="224" t="s">
        <v>2506</v>
      </c>
      <c r="F148" s="1149">
        <f t="shared" si="6"/>
        <v>1.6440894167958384</v>
      </c>
      <c r="G148" s="224" t="s">
        <v>2506</v>
      </c>
      <c r="H148" s="1141">
        <f t="shared" si="7"/>
        <v>0.60823942407518039</v>
      </c>
      <c r="I148" s="879">
        <f t="shared" si="8"/>
        <v>80.411971203759023</v>
      </c>
      <c r="J148" s="1142" t="s">
        <v>2507</v>
      </c>
      <c r="K148" s="225" t="s">
        <v>2497</v>
      </c>
      <c r="L148" s="1149">
        <f t="shared" si="9"/>
        <v>1.6440894167958384</v>
      </c>
      <c r="M148" s="879">
        <f t="shared" si="10"/>
        <v>121.64788481503608</v>
      </c>
      <c r="N148" s="1148">
        <f t="shared" si="11"/>
        <v>0.38663270840998126</v>
      </c>
      <c r="O148" s="1144">
        <f t="shared" si="12"/>
        <v>2.5864340451496681</v>
      </c>
      <c r="P148" s="166"/>
      <c r="Q148" s="1145">
        <f t="shared" si="13"/>
        <v>1.3709644028508898</v>
      </c>
      <c r="R148" s="318"/>
      <c r="S148" s="318"/>
      <c r="T148" s="318"/>
      <c r="U148" s="318"/>
      <c r="V148" s="318"/>
      <c r="W148" s="318"/>
      <c r="X148" s="318"/>
      <c r="Y148" s="318"/>
      <c r="Z148" s="318"/>
      <c r="AA148" s="318"/>
    </row>
    <row r="149" spans="2:27">
      <c r="B149" s="1139">
        <f>B99</f>
        <v>200</v>
      </c>
      <c r="C149" s="1146">
        <f>C99</f>
        <v>50</v>
      </c>
      <c r="D149" s="1147">
        <f>D148*D92</f>
        <v>134.84856025658777</v>
      </c>
      <c r="E149" s="224" t="s">
        <v>2506</v>
      </c>
      <c r="F149" s="1149">
        <f t="shared" si="6"/>
        <v>1.6969712051317556</v>
      </c>
      <c r="G149" s="224" t="s">
        <v>2506</v>
      </c>
      <c r="H149" s="1141">
        <f t="shared" si="7"/>
        <v>0.58928519056536277</v>
      </c>
      <c r="I149" s="879">
        <f t="shared" si="8"/>
        <v>79.464259528268144</v>
      </c>
      <c r="J149" s="1142" t="s">
        <v>2507</v>
      </c>
      <c r="K149" s="225" t="s">
        <v>2497</v>
      </c>
      <c r="L149" s="1149">
        <f t="shared" si="9"/>
        <v>1.6969712051317554</v>
      </c>
      <c r="M149" s="879">
        <f t="shared" si="10"/>
        <v>117.85703811307256</v>
      </c>
      <c r="N149" s="1148">
        <f t="shared" si="11"/>
        <v>0.39590986830263086</v>
      </c>
      <c r="O149" s="1144">
        <f t="shared" si="12"/>
        <v>2.5258274169503818</v>
      </c>
      <c r="P149" s="166"/>
      <c r="Q149" s="1145">
        <f t="shared" si="13"/>
        <v>1.3367560669893359</v>
      </c>
      <c r="R149" s="318"/>
      <c r="S149" s="318"/>
      <c r="T149" s="318"/>
      <c r="U149" s="318"/>
      <c r="V149" s="318"/>
      <c r="W149" s="318"/>
      <c r="X149" s="318"/>
      <c r="Y149" s="318"/>
      <c r="Z149" s="318"/>
      <c r="AA149" s="318"/>
    </row>
    <row r="150" spans="2:27">
      <c r="B150" s="1139">
        <f>B99</f>
        <v>200</v>
      </c>
      <c r="C150" s="1146">
        <f>C99</f>
        <v>50</v>
      </c>
      <c r="D150" s="1147">
        <f>D149*D92</f>
        <v>137.54553146171952</v>
      </c>
      <c r="E150" s="224" t="s">
        <v>2506</v>
      </c>
      <c r="F150" s="1149">
        <f t="shared" si="6"/>
        <v>1.7509106292343906</v>
      </c>
      <c r="G150" s="224" t="s">
        <v>2506</v>
      </c>
      <c r="H150" s="1141">
        <f t="shared" si="7"/>
        <v>0.5711313777547079</v>
      </c>
      <c r="I150" s="879">
        <f t="shared" si="8"/>
        <v>78.556568887735395</v>
      </c>
      <c r="J150" s="1142" t="s">
        <v>2507</v>
      </c>
      <c r="K150" s="225" t="s">
        <v>2497</v>
      </c>
      <c r="L150" s="1149">
        <f t="shared" si="9"/>
        <v>1.7509106292343903</v>
      </c>
      <c r="M150" s="879">
        <f t="shared" si="10"/>
        <v>114.22627555094158</v>
      </c>
      <c r="N150" s="1148">
        <f t="shared" si="11"/>
        <v>0.4051118953501664</v>
      </c>
      <c r="O150" s="1144">
        <f t="shared" si="12"/>
        <v>2.4684538061654062</v>
      </c>
      <c r="P150" s="166"/>
      <c r="Q150" s="1145">
        <f t="shared" si="13"/>
        <v>1.3036076472099971</v>
      </c>
      <c r="R150" s="318"/>
      <c r="S150" s="318"/>
      <c r="T150" s="318"/>
      <c r="U150" s="318"/>
      <c r="V150" s="318"/>
      <c r="W150" s="318"/>
      <c r="X150" s="318"/>
      <c r="Y150" s="318"/>
      <c r="Z150" s="318"/>
      <c r="AA150" s="318"/>
    </row>
    <row r="151" spans="2:27">
      <c r="B151" s="1139">
        <f>B99</f>
        <v>200</v>
      </c>
      <c r="C151" s="1146">
        <f>C99</f>
        <v>50</v>
      </c>
      <c r="D151" s="1147">
        <f>D150*D92</f>
        <v>140.29644209095392</v>
      </c>
      <c r="E151" s="224" t="s">
        <v>2506</v>
      </c>
      <c r="F151" s="1149">
        <f t="shared" si="6"/>
        <v>1.8059288418190782</v>
      </c>
      <c r="G151" s="224" t="s">
        <v>2506</v>
      </c>
      <c r="H151" s="1141">
        <f t="shared" si="7"/>
        <v>0.55373167360942022</v>
      </c>
      <c r="I151" s="879">
        <f t="shared" si="8"/>
        <v>77.686583680471017</v>
      </c>
      <c r="J151" s="1142" t="s">
        <v>2507</v>
      </c>
      <c r="K151" s="225" t="s">
        <v>2497</v>
      </c>
      <c r="L151" s="1149">
        <f t="shared" si="9"/>
        <v>1.8059288418190782</v>
      </c>
      <c r="M151" s="879">
        <f t="shared" si="10"/>
        <v>110.74633472188404</v>
      </c>
      <c r="N151" s="1148">
        <f t="shared" si="11"/>
        <v>0.41423611664899973</v>
      </c>
      <c r="O151" s="1144">
        <f t="shared" si="12"/>
        <v>2.4140821135771304</v>
      </c>
      <c r="P151" s="166"/>
      <c r="Q151" s="1145">
        <f t="shared" si="13"/>
        <v>1.2714747493471752</v>
      </c>
      <c r="R151" s="318"/>
      <c r="S151" s="318"/>
      <c r="T151" s="318"/>
      <c r="U151" s="318"/>
      <c r="V151" s="318"/>
      <c r="W151" s="318"/>
      <c r="X151" s="318"/>
      <c r="Y151" s="318"/>
      <c r="Z151" s="318"/>
      <c r="AA151" s="318"/>
    </row>
    <row r="152" spans="2:27">
      <c r="B152" s="1139">
        <f>B99</f>
        <v>200</v>
      </c>
      <c r="C152" s="1146">
        <f>C99</f>
        <v>50</v>
      </c>
      <c r="D152" s="1147">
        <f>D151*D92</f>
        <v>143.102370932773</v>
      </c>
      <c r="E152" s="224" t="s">
        <v>2506</v>
      </c>
      <c r="F152" s="1149">
        <f t="shared" si="6"/>
        <v>1.8620474186554601</v>
      </c>
      <c r="G152" s="224" t="s">
        <v>2506</v>
      </c>
      <c r="H152" s="1141">
        <f t="shared" si="7"/>
        <v>0.53704325141304732</v>
      </c>
      <c r="I152" s="879">
        <f t="shared" si="8"/>
        <v>76.852162570652368</v>
      </c>
      <c r="J152" s="1142" t="s">
        <v>2507</v>
      </c>
      <c r="K152" s="225" t="s">
        <v>2497</v>
      </c>
      <c r="L152" s="1149">
        <f t="shared" si="9"/>
        <v>1.8620474186554599</v>
      </c>
      <c r="M152" s="879">
        <f t="shared" si="10"/>
        <v>107.40865028260947</v>
      </c>
      <c r="N152" s="1148">
        <f t="shared" si="11"/>
        <v>0.42328007270340301</v>
      </c>
      <c r="O152" s="1144">
        <f t="shared" si="12"/>
        <v>2.3625019567143926</v>
      </c>
      <c r="P152" s="166"/>
      <c r="Q152" s="1145">
        <f t="shared" si="13"/>
        <v>1.240315524229364</v>
      </c>
      <c r="R152" s="318"/>
      <c r="S152" s="318"/>
      <c r="T152" s="318"/>
      <c r="U152" s="318"/>
      <c r="V152" s="318"/>
      <c r="W152" s="318"/>
      <c r="X152" s="318"/>
      <c r="Y152" s="318"/>
      <c r="Z152" s="318"/>
      <c r="AA152" s="318"/>
    </row>
    <row r="153" spans="2:27">
      <c r="B153" s="1139">
        <f>B99</f>
        <v>200</v>
      </c>
      <c r="C153" s="1146">
        <f>C99</f>
        <v>50</v>
      </c>
      <c r="D153" s="1147">
        <f>D152*D92</f>
        <v>145.96441835142846</v>
      </c>
      <c r="E153" s="224" t="s">
        <v>2506</v>
      </c>
      <c r="F153" s="1149">
        <f t="shared" si="6"/>
        <v>1.9192883670285692</v>
      </c>
      <c r="G153" s="224" t="s">
        <v>2506</v>
      </c>
      <c r="H153" s="1141">
        <f t="shared" si="7"/>
        <v>0.52102644770790441</v>
      </c>
      <c r="I153" s="879">
        <f t="shared" si="8"/>
        <v>76.051322385395224</v>
      </c>
      <c r="J153" s="1142" t="s">
        <v>2507</v>
      </c>
      <c r="K153" s="225" t="s">
        <v>2497</v>
      </c>
      <c r="L153" s="1149">
        <f t="shared" si="9"/>
        <v>1.9192883670285692</v>
      </c>
      <c r="M153" s="879">
        <f t="shared" si="10"/>
        <v>104.20528954158088</v>
      </c>
      <c r="N153" s="1148">
        <f t="shared" si="11"/>
        <v>0.4322415069892912</v>
      </c>
      <c r="O153" s="1144">
        <f t="shared" si="12"/>
        <v>2.3135214546269269</v>
      </c>
      <c r="P153" s="166"/>
      <c r="Q153" s="1145">
        <f t="shared" si="13"/>
        <v>1.2100904779135182</v>
      </c>
      <c r="R153" s="318"/>
      <c r="S153" s="318"/>
      <c r="T153" s="318"/>
      <c r="U153" s="318"/>
      <c r="V153" s="318"/>
      <c r="W153" s="318"/>
      <c r="X153" s="318"/>
      <c r="Y153" s="318"/>
      <c r="Z153" s="318"/>
      <c r="AA153" s="318"/>
    </row>
    <row r="154" spans="2:27">
      <c r="B154" s="1139">
        <f>B99</f>
        <v>200</v>
      </c>
      <c r="C154" s="1146">
        <f>C99</f>
        <v>50</v>
      </c>
      <c r="D154" s="1147">
        <f>D153*D92</f>
        <v>148.88370671845703</v>
      </c>
      <c r="E154" s="224" t="s">
        <v>2506</v>
      </c>
      <c r="F154" s="1149">
        <f t="shared" si="6"/>
        <v>1.9776741343691406</v>
      </c>
      <c r="G154" s="224" t="s">
        <v>2506</v>
      </c>
      <c r="H154" s="1141">
        <f t="shared" si="7"/>
        <v>0.50564447530633783</v>
      </c>
      <c r="I154" s="879">
        <f t="shared" si="8"/>
        <v>75.2822237653169</v>
      </c>
      <c r="J154" s="1142" t="s">
        <v>2507</v>
      </c>
      <c r="K154" s="225" t="s">
        <v>2497</v>
      </c>
      <c r="L154" s="1149">
        <f t="shared" si="9"/>
        <v>1.9776741343691404</v>
      </c>
      <c r="M154" s="879">
        <f t="shared" si="10"/>
        <v>101.12889506126758</v>
      </c>
      <c r="N154" s="1148">
        <f t="shared" si="11"/>
        <v>0.44111835596540228</v>
      </c>
      <c r="O154" s="1144">
        <f t="shared" si="12"/>
        <v>2.2669652860204978</v>
      </c>
      <c r="P154" s="166"/>
      <c r="Q154" s="1145">
        <f t="shared" si="13"/>
        <v>1.1807622992968174</v>
      </c>
      <c r="R154" s="318"/>
      <c r="S154" s="318"/>
      <c r="T154" s="318"/>
      <c r="U154" s="318"/>
      <c r="V154" s="318"/>
      <c r="W154" s="318"/>
      <c r="X154" s="318"/>
      <c r="Y154" s="318"/>
      <c r="Z154" s="318"/>
      <c r="AA154" s="318"/>
    </row>
    <row r="155" spans="2:27">
      <c r="B155" s="1139">
        <f>B99</f>
        <v>200</v>
      </c>
      <c r="C155" s="1146">
        <f>C99</f>
        <v>50</v>
      </c>
      <c r="D155" s="1147">
        <f>D154*D92</f>
        <v>151.86138085282619</v>
      </c>
      <c r="E155" s="224" t="s">
        <v>2506</v>
      </c>
      <c r="F155" s="1149">
        <f t="shared" si="6"/>
        <v>2.0372276170565238</v>
      </c>
      <c r="G155" s="224" t="s">
        <v>2506</v>
      </c>
      <c r="H155" s="1141">
        <f t="shared" si="7"/>
        <v>0.49086316699596094</v>
      </c>
      <c r="I155" s="879">
        <f t="shared" si="8"/>
        <v>74.543158349798048</v>
      </c>
      <c r="J155" s="1142" t="s">
        <v>2507</v>
      </c>
      <c r="K155" s="225" t="s">
        <v>2497</v>
      </c>
      <c r="L155" s="1149">
        <f t="shared" si="9"/>
        <v>2.0372276170565238</v>
      </c>
      <c r="M155" s="879">
        <f t="shared" si="10"/>
        <v>98.172633399192193</v>
      </c>
      <c r="N155" s="1148">
        <f t="shared" si="11"/>
        <v>0.44990873951367111</v>
      </c>
      <c r="O155" s="1144">
        <f t="shared" si="12"/>
        <v>2.2226729827052263</v>
      </c>
      <c r="P155" s="166"/>
      <c r="Q155" s="1145">
        <f t="shared" si="13"/>
        <v>1.1522957032303007</v>
      </c>
      <c r="R155" s="318"/>
      <c r="S155" s="318"/>
      <c r="T155" s="318"/>
      <c r="U155" s="318"/>
      <c r="V155" s="318"/>
      <c r="W155" s="318"/>
      <c r="X155" s="318"/>
      <c r="Y155" s="318"/>
      <c r="Z155" s="318"/>
      <c r="AA155" s="318"/>
    </row>
    <row r="156" spans="2:27">
      <c r="B156" s="1139">
        <f>B99</f>
        <v>200</v>
      </c>
      <c r="C156" s="1146">
        <f>C99</f>
        <v>50</v>
      </c>
      <c r="D156" s="1147">
        <f>D155*D92</f>
        <v>154.8986084698827</v>
      </c>
      <c r="E156" s="224" t="s">
        <v>2506</v>
      </c>
      <c r="F156" s="1149">
        <f t="shared" si="6"/>
        <v>2.0979721693976541</v>
      </c>
      <c r="G156" s="224" t="s">
        <v>2506</v>
      </c>
      <c r="H156" s="1141">
        <f t="shared" si="7"/>
        <v>0.4766507461760604</v>
      </c>
      <c r="I156" s="879">
        <f t="shared" si="8"/>
        <v>73.832537308803012</v>
      </c>
      <c r="J156" s="1142" t="s">
        <v>2507</v>
      </c>
      <c r="K156" s="225" t="s">
        <v>2497</v>
      </c>
      <c r="L156" s="1149">
        <f t="shared" si="9"/>
        <v>2.0979721693976541</v>
      </c>
      <c r="M156" s="879">
        <f t="shared" si="10"/>
        <v>95.330149235212076</v>
      </c>
      <c r="N156" s="1148">
        <f t="shared" si="11"/>
        <v>0.45861095179132216</v>
      </c>
      <c r="O156" s="1144">
        <f t="shared" si="12"/>
        <v>2.1804974261823156</v>
      </c>
      <c r="P156" s="166"/>
      <c r="Q156" s="1145">
        <f t="shared" si="13"/>
        <v>1.1246572874907406</v>
      </c>
      <c r="R156" s="318"/>
      <c r="S156" s="318"/>
      <c r="T156" s="318"/>
      <c r="U156" s="318"/>
      <c r="V156" s="318"/>
      <c r="W156" s="318"/>
      <c r="X156" s="318"/>
      <c r="Y156" s="318"/>
      <c r="Z156" s="318"/>
      <c r="AA156" s="318"/>
    </row>
    <row r="157" spans="2:27">
      <c r="B157" s="1139">
        <f>B99</f>
        <v>200</v>
      </c>
      <c r="C157" s="1146">
        <f>C99</f>
        <v>50</v>
      </c>
      <c r="D157" s="1147">
        <f>D156*D92</f>
        <v>157.99658063928035</v>
      </c>
      <c r="E157" s="224" t="s">
        <v>2506</v>
      </c>
      <c r="F157" s="1149">
        <f t="shared" si="6"/>
        <v>2.159931612785607</v>
      </c>
      <c r="G157" s="224" t="s">
        <v>2506</v>
      </c>
      <c r="H157" s="1141">
        <f t="shared" si="7"/>
        <v>0.46297762118048097</v>
      </c>
      <c r="I157" s="879">
        <f t="shared" si="8"/>
        <v>73.148881059024049</v>
      </c>
      <c r="J157" s="1142" t="s">
        <v>2507</v>
      </c>
      <c r="K157" s="225" t="s">
        <v>2497</v>
      </c>
      <c r="L157" s="1149">
        <f t="shared" si="9"/>
        <v>2.159931612785607</v>
      </c>
      <c r="M157" s="879">
        <f t="shared" si="10"/>
        <v>92.595524236096196</v>
      </c>
      <c r="N157" s="1148">
        <f t="shared" si="11"/>
        <v>0.46722345247790154</v>
      </c>
      <c r="O157" s="1144">
        <f t="shared" si="12"/>
        <v>2.140303520074899</v>
      </c>
      <c r="P157" s="166"/>
      <c r="Q157" s="1145">
        <f t="shared" si="13"/>
        <v>1.097815402166916</v>
      </c>
      <c r="R157" s="318"/>
      <c r="S157" s="318"/>
      <c r="T157" s="318"/>
      <c r="U157" s="318"/>
      <c r="V157" s="318"/>
      <c r="W157" s="318"/>
      <c r="X157" s="318"/>
      <c r="Y157" s="318"/>
      <c r="Z157" s="318"/>
      <c r="AA157" s="318"/>
    </row>
    <row r="158" spans="2:27">
      <c r="B158" s="1139">
        <f>B99</f>
        <v>200</v>
      </c>
      <c r="C158" s="1146">
        <f>C99</f>
        <v>50</v>
      </c>
      <c r="D158" s="1147">
        <f>D157*D92</f>
        <v>161.15651225206597</v>
      </c>
      <c r="E158" s="224" t="s">
        <v>2506</v>
      </c>
      <c r="F158" s="1149">
        <f t="shared" si="6"/>
        <v>2.2231302450413195</v>
      </c>
      <c r="G158" s="224" t="s">
        <v>2506</v>
      </c>
      <c r="H158" s="1141">
        <f t="shared" si="7"/>
        <v>0.44981620048150345</v>
      </c>
      <c r="I158" s="879">
        <f t="shared" si="8"/>
        <v>72.490810024075174</v>
      </c>
      <c r="J158" s="1142" t="s">
        <v>2507</v>
      </c>
      <c r="K158" s="225" t="s">
        <v>2497</v>
      </c>
      <c r="L158" s="1149">
        <f t="shared" si="9"/>
        <v>2.2231302450413195</v>
      </c>
      <c r="M158" s="879">
        <f t="shared" si="10"/>
        <v>89.963240096300694</v>
      </c>
      <c r="N158" s="1148">
        <f t="shared" si="11"/>
        <v>0.47574485840113007</v>
      </c>
      <c r="O158" s="1144">
        <f t="shared" si="12"/>
        <v>2.1019670151786229</v>
      </c>
      <c r="P158" s="166"/>
      <c r="Q158" s="1145">
        <f t="shared" si="13"/>
        <v>1.0717400301889592</v>
      </c>
      <c r="R158" s="318"/>
      <c r="S158" s="318"/>
      <c r="T158" s="318"/>
      <c r="U158" s="318"/>
      <c r="V158" s="318"/>
      <c r="W158" s="318"/>
      <c r="X158" s="318"/>
      <c r="Y158" s="318"/>
      <c r="Z158" s="318"/>
      <c r="AA158" s="318"/>
    </row>
    <row r="159" spans="2:27">
      <c r="B159" s="1139">
        <f>B99</f>
        <v>200</v>
      </c>
      <c r="C159" s="1146">
        <f>C99</f>
        <v>50</v>
      </c>
      <c r="D159" s="1147">
        <f>D158*D92</f>
        <v>164.37964249710728</v>
      </c>
      <c r="E159" s="224" t="s">
        <v>2506</v>
      </c>
      <c r="F159" s="1149">
        <f t="shared" si="6"/>
        <v>2.2875928499421456</v>
      </c>
      <c r="G159" s="224" t="s">
        <v>2506</v>
      </c>
      <c r="H159" s="1141">
        <f t="shared" si="7"/>
        <v>0.43714072634266649</v>
      </c>
      <c r="I159" s="879">
        <f t="shared" si="8"/>
        <v>71.857036317133321</v>
      </c>
      <c r="J159" s="1142" t="s">
        <v>2507</v>
      </c>
      <c r="K159" s="225" t="s">
        <v>2497</v>
      </c>
      <c r="L159" s="1149">
        <f t="shared" si="9"/>
        <v>2.2875928499421456</v>
      </c>
      <c r="M159" s="879">
        <f t="shared" si="10"/>
        <v>87.428145268533299</v>
      </c>
      <c r="N159" s="1148">
        <f t="shared" si="11"/>
        <v>0.48417393552610505</v>
      </c>
      <c r="O159" s="1144">
        <f t="shared" si="12"/>
        <v>2.0653734673127264</v>
      </c>
      <c r="P159" s="166"/>
      <c r="Q159" s="1145">
        <f t="shared" si="13"/>
        <v>1.0464026778787958</v>
      </c>
      <c r="R159" s="318"/>
      <c r="S159" s="318"/>
      <c r="T159" s="318"/>
      <c r="U159" s="318"/>
      <c r="V159" s="318"/>
      <c r="W159" s="318"/>
      <c r="X159" s="318"/>
      <c r="Y159" s="318"/>
      <c r="Z159" s="318"/>
      <c r="AA159" s="318"/>
    </row>
    <row r="160" spans="2:27">
      <c r="B160" s="1139">
        <f>B99</f>
        <v>200</v>
      </c>
      <c r="C160" s="1146">
        <f>C99</f>
        <v>50</v>
      </c>
      <c r="D160" s="1147">
        <f>D159*D92</f>
        <v>167.66723534704943</v>
      </c>
      <c r="E160" s="224" t="s">
        <v>2506</v>
      </c>
      <c r="F160" s="1149">
        <f t="shared" si="6"/>
        <v>2.3533447069409887</v>
      </c>
      <c r="G160" s="224" t="s">
        <v>2506</v>
      </c>
      <c r="H160" s="1141">
        <f t="shared" si="7"/>
        <v>0.4249271248069123</v>
      </c>
      <c r="I160" s="879">
        <f t="shared" si="8"/>
        <v>71.246356240345619</v>
      </c>
      <c r="J160" s="1142" t="s">
        <v>2507</v>
      </c>
      <c r="K160" s="225" t="s">
        <v>2497</v>
      </c>
      <c r="L160" s="1149">
        <f t="shared" si="9"/>
        <v>2.3533447069409883</v>
      </c>
      <c r="M160" s="879">
        <f t="shared" si="10"/>
        <v>84.985424961382478</v>
      </c>
      <c r="N160" s="1148">
        <f t="shared" si="11"/>
        <v>0.49250959129299482</v>
      </c>
      <c r="O160" s="1144">
        <f t="shared" si="12"/>
        <v>2.0304173110104942</v>
      </c>
      <c r="P160" s="166"/>
      <c r="Q160" s="1145">
        <f t="shared" si="13"/>
        <v>1.0217762745293082</v>
      </c>
      <c r="R160" s="318"/>
      <c r="S160" s="318"/>
      <c r="T160" s="318"/>
      <c r="U160" s="318"/>
      <c r="V160" s="318"/>
      <c r="W160" s="318"/>
      <c r="X160" s="318"/>
      <c r="Y160" s="318"/>
      <c r="Z160" s="318"/>
      <c r="AA160" s="318"/>
    </row>
    <row r="161" spans="2:27">
      <c r="B161" s="1139">
        <f>B99</f>
        <v>200</v>
      </c>
      <c r="C161" s="1146">
        <f>C99</f>
        <v>50</v>
      </c>
      <c r="D161" s="1147">
        <f>D160*D92</f>
        <v>171.02058005399041</v>
      </c>
      <c r="E161" s="224" t="s">
        <v>2506</v>
      </c>
      <c r="F161" s="1149">
        <f t="shared" si="6"/>
        <v>2.4204116010798082</v>
      </c>
      <c r="G161" s="224" t="s">
        <v>2506</v>
      </c>
      <c r="H161" s="1141">
        <f t="shared" si="7"/>
        <v>0.41315287017872254</v>
      </c>
      <c r="I161" s="879">
        <f t="shared" si="8"/>
        <v>70.657643508936133</v>
      </c>
      <c r="J161" s="1142" t="s">
        <v>2507</v>
      </c>
      <c r="K161" s="225" t="s">
        <v>2497</v>
      </c>
      <c r="L161" s="1149">
        <f t="shared" si="9"/>
        <v>2.4204116010798082</v>
      </c>
      <c r="M161" s="879">
        <f t="shared" si="10"/>
        <v>82.630574035744516</v>
      </c>
      <c r="N161" s="1148">
        <f t="shared" si="11"/>
        <v>0.50075086728895901</v>
      </c>
      <c r="O161" s="1144">
        <f t="shared" si="12"/>
        <v>1.9970010344943616</v>
      </c>
      <c r="P161" s="166"/>
      <c r="Q161" s="1145">
        <f t="shared" si="13"/>
        <v>0.99783508013266109</v>
      </c>
      <c r="R161" s="318"/>
      <c r="S161" s="318"/>
      <c r="T161" s="318"/>
      <c r="U161" s="318"/>
      <c r="V161" s="318"/>
      <c r="W161" s="318"/>
      <c r="X161" s="318"/>
      <c r="Y161" s="318"/>
      <c r="Z161" s="318"/>
      <c r="AA161" s="318"/>
    </row>
    <row r="162" spans="2:27">
      <c r="B162" s="1139">
        <f>B99</f>
        <v>200</v>
      </c>
      <c r="C162" s="1146">
        <f>C99</f>
        <v>50</v>
      </c>
      <c r="D162" s="1147">
        <f>D161*D92</f>
        <v>174.44099165507023</v>
      </c>
      <c r="E162" s="224" t="s">
        <v>2506</v>
      </c>
      <c r="F162" s="1149">
        <f t="shared" si="6"/>
        <v>2.4888198331014046</v>
      </c>
      <c r="G162" s="224" t="s">
        <v>2506</v>
      </c>
      <c r="H162" s="1141">
        <f t="shared" si="7"/>
        <v>0.40179686239235135</v>
      </c>
      <c r="I162" s="879">
        <f t="shared" si="8"/>
        <v>70.089843119617569</v>
      </c>
      <c r="J162" s="1142" t="s">
        <v>2507</v>
      </c>
      <c r="K162" s="225" t="s">
        <v>2497</v>
      </c>
      <c r="L162" s="1149">
        <f t="shared" si="9"/>
        <v>2.4888198331014046</v>
      </c>
      <c r="M162" s="879">
        <f t="shared" si="10"/>
        <v>80.359372478470277</v>
      </c>
      <c r="N162" s="1148">
        <f t="shared" si="11"/>
        <v>0.50889693224059418</v>
      </c>
      <c r="O162" s="1144">
        <f t="shared" si="12"/>
        <v>1.9650344434130409</v>
      </c>
      <c r="P162" s="166"/>
      <c r="Q162" s="1145">
        <f t="shared" si="13"/>
        <v>0.97455460047659637</v>
      </c>
      <c r="R162" s="318"/>
      <c r="S162" s="318"/>
      <c r="T162" s="318"/>
      <c r="U162" s="318"/>
      <c r="V162" s="318"/>
      <c r="W162" s="318"/>
      <c r="X162" s="318"/>
      <c r="Y162" s="318"/>
      <c r="Z162" s="318"/>
      <c r="AA162" s="318"/>
    </row>
    <row r="163" spans="2:27">
      <c r="B163" s="1139">
        <f>B99</f>
        <v>200</v>
      </c>
      <c r="C163" s="1146">
        <f>C99</f>
        <v>50</v>
      </c>
      <c r="D163" s="1147">
        <f>D162*D92</f>
        <v>177.92981148817165</v>
      </c>
      <c r="E163" s="224" t="s">
        <v>2506</v>
      </c>
      <c r="F163" s="1149">
        <f t="shared" ref="F163:F226" si="14">D163/C163-1</f>
        <v>2.5585962297634328</v>
      </c>
      <c r="G163" s="224" t="s">
        <v>2506</v>
      </c>
      <c r="H163" s="1141">
        <f t="shared" ref="H163:H226" si="15">1/(D163/C163-1)</f>
        <v>0.39083931585893872</v>
      </c>
      <c r="I163" s="879">
        <f t="shared" ref="I163:I226" si="16">C163+H163*C163</f>
        <v>69.541965792946939</v>
      </c>
      <c r="J163" s="1142" t="s">
        <v>2507</v>
      </c>
      <c r="K163" s="225" t="s">
        <v>2497</v>
      </c>
      <c r="L163" s="1149">
        <f t="shared" ref="L163:L226" si="17">D163/I163</f>
        <v>2.5585962297634328</v>
      </c>
      <c r="M163" s="879">
        <f t="shared" ref="M163:M226" si="18">B163*I163/D163</f>
        <v>78.167863171787744</v>
      </c>
      <c r="N163" s="1148">
        <f t="shared" ref="N163:N226" si="19">1/((I163/C163)^2)</f>
        <v>0.51694707531375672</v>
      </c>
      <c r="O163" s="1144">
        <f t="shared" ref="O163:O226" si="20">(I163/C163)^2</f>
        <v>1.9344340025389608</v>
      </c>
      <c r="P163" s="166"/>
      <c r="Q163" s="1145">
        <f t="shared" ref="Q163:Q226" si="21">LOG(O163)/LOG(2)</f>
        <v>0.95191150891348664</v>
      </c>
      <c r="R163" s="318"/>
      <c r="S163" s="318"/>
      <c r="T163" s="318"/>
      <c r="U163" s="318"/>
      <c r="V163" s="318"/>
      <c r="W163" s="318"/>
      <c r="X163" s="318"/>
      <c r="Y163" s="318"/>
      <c r="Z163" s="318"/>
      <c r="AA163" s="318"/>
    </row>
    <row r="164" spans="2:27">
      <c r="B164" s="1139">
        <f>B99</f>
        <v>200</v>
      </c>
      <c r="C164" s="1146">
        <f>C99</f>
        <v>50</v>
      </c>
      <c r="D164" s="1147">
        <f>D163*D92</f>
        <v>181.48840771793508</v>
      </c>
      <c r="E164" s="224" t="s">
        <v>2506</v>
      </c>
      <c r="F164" s="1149">
        <f t="shared" si="14"/>
        <v>2.6297681543587017</v>
      </c>
      <c r="G164" s="224" t="s">
        <v>2506</v>
      </c>
      <c r="H164" s="1141">
        <f t="shared" si="15"/>
        <v>0.38026165855820898</v>
      </c>
      <c r="I164" s="879">
        <f t="shared" si="16"/>
        <v>69.013082927910446</v>
      </c>
      <c r="J164" s="1142" t="s">
        <v>2507</v>
      </c>
      <c r="K164" s="225" t="s">
        <v>2497</v>
      </c>
      <c r="L164" s="1149">
        <f t="shared" si="17"/>
        <v>2.6297681543587017</v>
      </c>
      <c r="M164" s="879">
        <f t="shared" si="18"/>
        <v>76.052331711641799</v>
      </c>
      <c r="N164" s="1148">
        <f t="shared" si="19"/>
        <v>0.5249006997081348</v>
      </c>
      <c r="O164" s="1144">
        <f t="shared" si="20"/>
        <v>1.9051222460858575</v>
      </c>
      <c r="P164" s="166"/>
      <c r="Q164" s="1145">
        <f t="shared" si="21"/>
        <v>0.92988357418229284</v>
      </c>
      <c r="R164" s="318"/>
      <c r="S164" s="318"/>
      <c r="T164" s="318"/>
      <c r="U164" s="318"/>
      <c r="V164" s="318"/>
      <c r="W164" s="318"/>
      <c r="X164" s="318"/>
      <c r="Y164" s="318"/>
      <c r="Z164" s="318"/>
      <c r="AA164" s="318"/>
    </row>
    <row r="165" spans="2:27">
      <c r="B165" s="1139">
        <f>B99</f>
        <v>200</v>
      </c>
      <c r="C165" s="1146">
        <f>C99</f>
        <v>50</v>
      </c>
      <c r="D165" s="1147">
        <f>D164*D92</f>
        <v>185.11817587229379</v>
      </c>
      <c r="E165" s="224" t="s">
        <v>2506</v>
      </c>
      <c r="F165" s="1149">
        <f t="shared" si="14"/>
        <v>2.702363517445876</v>
      </c>
      <c r="G165" s="224" t="s">
        <v>2506</v>
      </c>
      <c r="H165" s="1141">
        <f t="shared" si="15"/>
        <v>0.3700464402898484</v>
      </c>
      <c r="I165" s="879">
        <f t="shared" si="16"/>
        <v>68.502322014492421</v>
      </c>
      <c r="J165" s="1142" t="s">
        <v>2507</v>
      </c>
      <c r="K165" s="225" t="s">
        <v>2497</v>
      </c>
      <c r="L165" s="1149">
        <f t="shared" si="17"/>
        <v>2.702363517445876</v>
      </c>
      <c r="M165" s="879">
        <f t="shared" si="18"/>
        <v>74.009288057969684</v>
      </c>
      <c r="N165" s="1148">
        <f t="shared" si="19"/>
        <v>0.5327573165344438</v>
      </c>
      <c r="O165" s="1144">
        <f t="shared" si="20"/>
        <v>1.8770272485508852</v>
      </c>
      <c r="P165" s="166"/>
      <c r="Q165" s="1145">
        <f t="shared" si="21"/>
        <v>0.90844959372973211</v>
      </c>
      <c r="R165" s="318"/>
      <c r="S165" s="318"/>
      <c r="T165" s="318"/>
      <c r="U165" s="318"/>
      <c r="V165" s="318"/>
      <c r="W165" s="318"/>
      <c r="X165" s="318"/>
      <c r="Y165" s="318"/>
      <c r="Z165" s="318"/>
      <c r="AA165" s="318"/>
    </row>
    <row r="166" spans="2:27">
      <c r="B166" s="1139">
        <f>B99</f>
        <v>200</v>
      </c>
      <c r="C166" s="1146">
        <f>C99</f>
        <v>50</v>
      </c>
      <c r="D166" s="1147">
        <f>D165*D92</f>
        <v>188.82053938973968</v>
      </c>
      <c r="E166" s="224" t="s">
        <v>2506</v>
      </c>
      <c r="F166" s="1149">
        <f t="shared" si="14"/>
        <v>2.7764107877947937</v>
      </c>
      <c r="G166" s="224" t="s">
        <v>2506</v>
      </c>
      <c r="H166" s="1141">
        <f t="shared" si="15"/>
        <v>0.3601772491289969</v>
      </c>
      <c r="I166" s="879">
        <f t="shared" si="16"/>
        <v>68.008862456449847</v>
      </c>
      <c r="J166" s="1142" t="s">
        <v>2507</v>
      </c>
      <c r="K166" s="225" t="s">
        <v>2497</v>
      </c>
      <c r="L166" s="1149">
        <f t="shared" si="17"/>
        <v>2.7764107877947937</v>
      </c>
      <c r="M166" s="879">
        <f t="shared" si="18"/>
        <v>72.03544982579939</v>
      </c>
      <c r="N166" s="1148">
        <f t="shared" si="19"/>
        <v>0.54051653896260987</v>
      </c>
      <c r="O166" s="1144">
        <f t="shared" si="20"/>
        <v>1.8500821490481254</v>
      </c>
      <c r="P166" s="166"/>
      <c r="Q166" s="1145">
        <f t="shared" si="21"/>
        <v>0.88758933203514234</v>
      </c>
      <c r="R166" s="318"/>
      <c r="S166" s="318"/>
      <c r="T166" s="318"/>
      <c r="U166" s="318"/>
      <c r="V166" s="318"/>
      <c r="W166" s="318"/>
      <c r="X166" s="318"/>
      <c r="Y166" s="318"/>
      <c r="Z166" s="318"/>
      <c r="AA166" s="318"/>
    </row>
    <row r="167" spans="2:27">
      <c r="B167" s="1139">
        <f>B99</f>
        <v>200</v>
      </c>
      <c r="C167" s="1146">
        <f>C99</f>
        <v>50</v>
      </c>
      <c r="D167" s="1147">
        <f>D166*D92</f>
        <v>192.59695017753447</v>
      </c>
      <c r="E167" s="224" t="s">
        <v>2506</v>
      </c>
      <c r="F167" s="1149">
        <f t="shared" si="14"/>
        <v>2.8519390035506893</v>
      </c>
      <c r="G167" s="224" t="s">
        <v>2506</v>
      </c>
      <c r="H167" s="1141">
        <f t="shared" si="15"/>
        <v>0.3506386352425459</v>
      </c>
      <c r="I167" s="879">
        <f t="shared" si="16"/>
        <v>67.5319317621273</v>
      </c>
      <c r="J167" s="1142" t="s">
        <v>2507</v>
      </c>
      <c r="K167" s="225" t="s">
        <v>2497</v>
      </c>
      <c r="L167" s="1149">
        <f t="shared" si="17"/>
        <v>2.8519390035506893</v>
      </c>
      <c r="M167" s="879">
        <f t="shared" si="18"/>
        <v>70.127727048509186</v>
      </c>
      <c r="N167" s="1148">
        <f t="shared" si="19"/>
        <v>0.54817807662976292</v>
      </c>
      <c r="O167" s="1144">
        <f t="shared" si="20"/>
        <v>1.8242247230098469</v>
      </c>
      <c r="P167" s="166"/>
      <c r="Q167" s="1145">
        <f t="shared" si="21"/>
        <v>0.8672834634948865</v>
      </c>
      <c r="R167" s="318"/>
      <c r="S167" s="318"/>
      <c r="T167" s="318"/>
      <c r="U167" s="318"/>
      <c r="V167" s="318"/>
      <c r="W167" s="318"/>
      <c r="X167" s="318"/>
      <c r="Y167" s="318"/>
      <c r="Z167" s="318"/>
      <c r="AA167" s="318"/>
    </row>
    <row r="168" spans="2:27">
      <c r="B168" s="1139">
        <f>B99</f>
        <v>200</v>
      </c>
      <c r="C168" s="1146">
        <f>C99</f>
        <v>50</v>
      </c>
      <c r="D168" s="1147">
        <f>D167*D92</f>
        <v>196.44888918108515</v>
      </c>
      <c r="E168" s="224" t="s">
        <v>2506</v>
      </c>
      <c r="F168" s="1149">
        <f t="shared" si="14"/>
        <v>2.9289777836217028</v>
      </c>
      <c r="G168" s="224" t="s">
        <v>2506</v>
      </c>
      <c r="H168" s="1141">
        <f t="shared" si="15"/>
        <v>0.34141604132056358</v>
      </c>
      <c r="I168" s="879">
        <f t="shared" si="16"/>
        <v>67.070802066028179</v>
      </c>
      <c r="J168" s="1142" t="s">
        <v>2507</v>
      </c>
      <c r="K168" s="225" t="s">
        <v>2497</v>
      </c>
      <c r="L168" s="1149">
        <f t="shared" si="17"/>
        <v>2.9289777836217028</v>
      </c>
      <c r="M168" s="879">
        <f t="shared" si="18"/>
        <v>68.283208264112716</v>
      </c>
      <c r="N168" s="1148">
        <f t="shared" si="19"/>
        <v>0.55574173029731566</v>
      </c>
      <c r="O168" s="1144">
        <f t="shared" si="20"/>
        <v>1.7993969959121319</v>
      </c>
      <c r="P168" s="166"/>
      <c r="Q168" s="1145">
        <f t="shared" si="21"/>
        <v>0.84751351946742959</v>
      </c>
      <c r="R168" s="318"/>
      <c r="S168" s="318"/>
      <c r="T168" s="318"/>
      <c r="U168" s="318"/>
      <c r="V168" s="318"/>
      <c r="W168" s="318"/>
      <c r="X168" s="318"/>
      <c r="Y168" s="318"/>
      <c r="Z168" s="318"/>
      <c r="AA168" s="318"/>
    </row>
    <row r="169" spans="2:27">
      <c r="B169" s="1139">
        <f>B99</f>
        <v>200</v>
      </c>
      <c r="C169" s="1146">
        <f>C99</f>
        <v>50</v>
      </c>
      <c r="D169" s="1147">
        <f>D168*D92</f>
        <v>200.37786696470687</v>
      </c>
      <c r="E169" s="224" t="s">
        <v>2506</v>
      </c>
      <c r="F169" s="1149">
        <f t="shared" si="14"/>
        <v>3.007557339294137</v>
      </c>
      <c r="G169" s="224" t="s">
        <v>2506</v>
      </c>
      <c r="H169" s="1141">
        <f t="shared" si="15"/>
        <v>0.33249573896226908</v>
      </c>
      <c r="I169" s="879">
        <f t="shared" si="16"/>
        <v>66.624786948113453</v>
      </c>
      <c r="J169" s="1142" t="s">
        <v>2507</v>
      </c>
      <c r="K169" s="225" t="s">
        <v>2497</v>
      </c>
      <c r="L169" s="1149">
        <f t="shared" si="17"/>
        <v>3.0075573392941375</v>
      </c>
      <c r="M169" s="879">
        <f t="shared" si="18"/>
        <v>66.499147792453812</v>
      </c>
      <c r="N169" s="1148">
        <f t="shared" si="19"/>
        <v>0.56320738674682647</v>
      </c>
      <c r="O169" s="1144">
        <f t="shared" si="20"/>
        <v>1.7755448943526038</v>
      </c>
      <c r="P169" s="166"/>
      <c r="Q169" s="1145">
        <f t="shared" si="21"/>
        <v>0.82826183912037343</v>
      </c>
      <c r="R169" s="318"/>
      <c r="S169" s="318"/>
      <c r="T169" s="318"/>
      <c r="U169" s="318"/>
      <c r="V169" s="318"/>
      <c r="W169" s="318"/>
      <c r="X169" s="318"/>
      <c r="Y169" s="318"/>
      <c r="Z169" s="318"/>
      <c r="AA169" s="318"/>
    </row>
    <row r="170" spans="2:27">
      <c r="B170" s="1139">
        <f>B99</f>
        <v>200</v>
      </c>
      <c r="C170" s="1146">
        <f>C99</f>
        <v>50</v>
      </c>
      <c r="D170" s="1147">
        <f>D169*D92</f>
        <v>204.38542430400102</v>
      </c>
      <c r="E170" s="224" t="s">
        <v>2506</v>
      </c>
      <c r="F170" s="1149">
        <f t="shared" si="14"/>
        <v>3.0877084860800208</v>
      </c>
      <c r="G170" s="224" t="s">
        <v>2506</v>
      </c>
      <c r="H170" s="1141">
        <f t="shared" si="15"/>
        <v>0.3238647704303016</v>
      </c>
      <c r="I170" s="879">
        <f t="shared" si="16"/>
        <v>66.193238521515084</v>
      </c>
      <c r="J170" s="1142" t="s">
        <v>2507</v>
      </c>
      <c r="K170" s="225" t="s">
        <v>2497</v>
      </c>
      <c r="L170" s="1149">
        <f t="shared" si="17"/>
        <v>3.0877084860800204</v>
      </c>
      <c r="M170" s="879">
        <f t="shared" si="18"/>
        <v>64.772954086060324</v>
      </c>
      <c r="N170" s="1148">
        <f t="shared" si="19"/>
        <v>0.57057501390476284</v>
      </c>
      <c r="O170" s="1144">
        <f t="shared" si="20"/>
        <v>1.7526179303864755</v>
      </c>
      <c r="P170" s="166"/>
      <c r="Q170" s="1145">
        <f t="shared" si="21"/>
        <v>0.80951152375629221</v>
      </c>
      <c r="R170" s="318"/>
      <c r="S170" s="318"/>
      <c r="T170" s="318"/>
      <c r="U170" s="318"/>
      <c r="V170" s="318"/>
      <c r="W170" s="318"/>
      <c r="X170" s="318"/>
      <c r="Y170" s="318"/>
      <c r="Z170" s="318"/>
      <c r="AA170" s="318"/>
    </row>
    <row r="171" spans="2:27">
      <c r="B171" s="1139">
        <f>B99</f>
        <v>200</v>
      </c>
      <c r="C171" s="1146">
        <f>C99</f>
        <v>50</v>
      </c>
      <c r="D171" s="1147">
        <f>D170*D92</f>
        <v>208.47313279008105</v>
      </c>
      <c r="E171" s="224" t="s">
        <v>2506</v>
      </c>
      <c r="F171" s="1149">
        <f t="shared" si="14"/>
        <v>3.1694626558016212</v>
      </c>
      <c r="G171" s="224" t="s">
        <v>2506</v>
      </c>
      <c r="H171" s="1141">
        <f t="shared" si="15"/>
        <v>0.31551089525207854</v>
      </c>
      <c r="I171" s="879">
        <f t="shared" si="16"/>
        <v>65.775544762603928</v>
      </c>
      <c r="J171" s="1142" t="s">
        <v>2507</v>
      </c>
      <c r="K171" s="225" t="s">
        <v>2497</v>
      </c>
      <c r="L171" s="1149">
        <f t="shared" si="17"/>
        <v>3.1694626558016212</v>
      </c>
      <c r="M171" s="879">
        <f t="shared" si="18"/>
        <v>63.102179050415714</v>
      </c>
      <c r="N171" s="1148">
        <f t="shared" si="19"/>
        <v>0.57784465618667313</v>
      </c>
      <c r="O171" s="1144">
        <f t="shared" si="20"/>
        <v>1.7305689155269255</v>
      </c>
      <c r="P171" s="166"/>
      <c r="Q171" s="1145">
        <f t="shared" si="21"/>
        <v>0.79124639432581256</v>
      </c>
      <c r="R171" s="318"/>
      <c r="S171" s="318"/>
      <c r="T171" s="318"/>
      <c r="U171" s="318"/>
      <c r="V171" s="318"/>
      <c r="W171" s="318"/>
      <c r="X171" s="318"/>
      <c r="Y171" s="318"/>
      <c r="Z171" s="318"/>
      <c r="AA171" s="318"/>
    </row>
    <row r="172" spans="2:27">
      <c r="B172" s="1139">
        <f>B99</f>
        <v>200</v>
      </c>
      <c r="C172" s="1146">
        <f>C99</f>
        <v>50</v>
      </c>
      <c r="D172" s="1147">
        <f>D171*D92</f>
        <v>212.64259544588268</v>
      </c>
      <c r="E172" s="224" t="s">
        <v>2506</v>
      </c>
      <c r="F172" s="1149">
        <f t="shared" si="14"/>
        <v>3.2528519089176537</v>
      </c>
      <c r="G172" s="224" t="s">
        <v>2506</v>
      </c>
      <c r="H172" s="1141">
        <f t="shared" si="15"/>
        <v>0.30742254120407764</v>
      </c>
      <c r="I172" s="879">
        <f t="shared" si="16"/>
        <v>65.371127060203889</v>
      </c>
      <c r="J172" s="1142" t="s">
        <v>2507</v>
      </c>
      <c r="K172" s="225" t="s">
        <v>2497</v>
      </c>
      <c r="L172" s="1149">
        <f t="shared" si="17"/>
        <v>3.2528519089176533</v>
      </c>
      <c r="M172" s="879">
        <f t="shared" si="18"/>
        <v>61.484508240815536</v>
      </c>
      <c r="N172" s="1148">
        <f t="shared" si="19"/>
        <v>0.58501643005165649</v>
      </c>
      <c r="O172" s="1144">
        <f t="shared" si="20"/>
        <v>1.7093537012485287</v>
      </c>
      <c r="P172" s="166"/>
      <c r="Q172" s="1145">
        <f t="shared" si="21"/>
        <v>0.77345095186450175</v>
      </c>
      <c r="R172" s="318"/>
      <c r="S172" s="318"/>
      <c r="T172" s="318"/>
      <c r="U172" s="318"/>
      <c r="V172" s="318"/>
      <c r="W172" s="318"/>
      <c r="X172" s="318"/>
      <c r="Y172" s="318"/>
      <c r="Z172" s="318"/>
      <c r="AA172" s="318"/>
    </row>
    <row r="173" spans="2:27">
      <c r="B173" s="1139">
        <f>B99</f>
        <v>200</v>
      </c>
      <c r="C173" s="1146">
        <f>C99</f>
        <v>50</v>
      </c>
      <c r="D173" s="1147">
        <f>D172*D92</f>
        <v>216.89544735480033</v>
      </c>
      <c r="E173" s="224" t="s">
        <v>2506</v>
      </c>
      <c r="F173" s="1149">
        <f t="shared" si="14"/>
        <v>3.3379089470960066</v>
      </c>
      <c r="G173" s="224" t="s">
        <v>2506</v>
      </c>
      <c r="H173" s="1141">
        <f t="shared" si="15"/>
        <v>0.29958875926498946</v>
      </c>
      <c r="I173" s="879">
        <f t="shared" si="16"/>
        <v>64.979437963249467</v>
      </c>
      <c r="J173" s="1142" t="s">
        <v>2507</v>
      </c>
      <c r="K173" s="225" t="s">
        <v>2497</v>
      </c>
      <c r="L173" s="1149">
        <f t="shared" si="17"/>
        <v>3.3379089470960071</v>
      </c>
      <c r="M173" s="879">
        <f t="shared" si="18"/>
        <v>59.917751852997888</v>
      </c>
      <c r="N173" s="1148">
        <f t="shared" si="19"/>
        <v>0.59209051975838889</v>
      </c>
      <c r="O173" s="1144">
        <f t="shared" si="20"/>
        <v>1.6889309432079143</v>
      </c>
      <c r="P173" s="166"/>
      <c r="Q173" s="1145">
        <f t="shared" si="21"/>
        <v>0.75611034061517779</v>
      </c>
      <c r="R173" s="318"/>
      <c r="S173" s="318"/>
      <c r="T173" s="318"/>
      <c r="U173" s="318"/>
      <c r="V173" s="318"/>
      <c r="W173" s="318"/>
      <c r="X173" s="318"/>
      <c r="Y173" s="318"/>
      <c r="Z173" s="318"/>
      <c r="AA173" s="318"/>
    </row>
    <row r="174" spans="2:27">
      <c r="B174" s="1139">
        <f>B99</f>
        <v>200</v>
      </c>
      <c r="C174" s="1146">
        <f>C99</f>
        <v>50</v>
      </c>
      <c r="D174" s="1147">
        <f>D173*D92</f>
        <v>221.23335630189632</v>
      </c>
      <c r="E174" s="224" t="s">
        <v>2506</v>
      </c>
      <c r="F174" s="1149">
        <f t="shared" si="14"/>
        <v>3.4246671260379262</v>
      </c>
      <c r="G174" s="224" t="s">
        <v>2506</v>
      </c>
      <c r="H174" s="1141">
        <f t="shared" si="15"/>
        <v>0.29199918216779286</v>
      </c>
      <c r="I174" s="879">
        <f t="shared" si="16"/>
        <v>64.599959108389641</v>
      </c>
      <c r="J174" s="1142" t="s">
        <v>2507</v>
      </c>
      <c r="K174" s="225" t="s">
        <v>2497</v>
      </c>
      <c r="L174" s="1149">
        <f t="shared" si="17"/>
        <v>3.4246671260379267</v>
      </c>
      <c r="M174" s="879">
        <f t="shared" si="18"/>
        <v>58.399836433558562</v>
      </c>
      <c r="N174" s="1148">
        <f t="shared" si="19"/>
        <v>0.59906717331430559</v>
      </c>
      <c r="O174" s="1144">
        <f t="shared" si="20"/>
        <v>1.6692618867222453</v>
      </c>
      <c r="P174" s="166"/>
      <c r="Q174" s="1145">
        <f t="shared" si="21"/>
        <v>0.73921031361964606</v>
      </c>
      <c r="R174" s="318"/>
      <c r="S174" s="318"/>
      <c r="T174" s="318"/>
      <c r="U174" s="318"/>
      <c r="V174" s="318"/>
      <c r="W174" s="318"/>
      <c r="X174" s="318"/>
      <c r="Y174" s="318"/>
      <c r="Z174" s="318"/>
      <c r="AA174" s="318"/>
    </row>
    <row r="175" spans="2:27">
      <c r="B175" s="1139">
        <f>B99</f>
        <v>200</v>
      </c>
      <c r="C175" s="1146">
        <f>C99</f>
        <v>50</v>
      </c>
      <c r="D175" s="1147">
        <f>D174*D92</f>
        <v>225.65802342793424</v>
      </c>
      <c r="E175" s="224" t="s">
        <v>2506</v>
      </c>
      <c r="F175" s="1149">
        <f t="shared" si="14"/>
        <v>3.5131604685586844</v>
      </c>
      <c r="G175" s="224" t="s">
        <v>2506</v>
      </c>
      <c r="H175" s="1141">
        <f t="shared" si="15"/>
        <v>0.28464398621969633</v>
      </c>
      <c r="I175" s="879">
        <f t="shared" si="16"/>
        <v>64.232199310984811</v>
      </c>
      <c r="J175" s="1142" t="s">
        <v>2507</v>
      </c>
      <c r="K175" s="225" t="s">
        <v>2497</v>
      </c>
      <c r="L175" s="1149">
        <f t="shared" si="17"/>
        <v>3.5131604685586848</v>
      </c>
      <c r="M175" s="879">
        <f t="shared" si="18"/>
        <v>56.928797243939258</v>
      </c>
      <c r="N175" s="1148">
        <f t="shared" si="19"/>
        <v>0.60594669860989214</v>
      </c>
      <c r="O175" s="1144">
        <f t="shared" si="20"/>
        <v>1.6503101713304307</v>
      </c>
      <c r="P175" s="166"/>
      <c r="Q175" s="1145">
        <f t="shared" si="21"/>
        <v>0.72273720058383528</v>
      </c>
      <c r="R175" s="318"/>
      <c r="S175" s="318"/>
      <c r="T175" s="318"/>
      <c r="U175" s="318"/>
      <c r="V175" s="318"/>
      <c r="W175" s="318"/>
      <c r="X175" s="318"/>
      <c r="Y175" s="318"/>
      <c r="Z175" s="318"/>
      <c r="AA175" s="318"/>
    </row>
    <row r="176" spans="2:27">
      <c r="B176" s="1139">
        <f>B99</f>
        <v>200</v>
      </c>
      <c r="C176" s="1146">
        <f>C99</f>
        <v>50</v>
      </c>
      <c r="D176" s="1147">
        <f>D175*D92</f>
        <v>230.17118389649292</v>
      </c>
      <c r="E176" s="224" t="s">
        <v>2506</v>
      </c>
      <c r="F176" s="1149">
        <f t="shared" si="14"/>
        <v>3.6034236779298583</v>
      </c>
      <c r="G176" s="224" t="s">
        <v>2506</v>
      </c>
      <c r="H176" s="1141">
        <f t="shared" si="15"/>
        <v>0.27751385609323992</v>
      </c>
      <c r="I176" s="879">
        <f t="shared" si="16"/>
        <v>63.875692804661995</v>
      </c>
      <c r="J176" s="1142" t="s">
        <v>2507</v>
      </c>
      <c r="K176" s="225" t="s">
        <v>2497</v>
      </c>
      <c r="L176" s="1149">
        <f t="shared" si="17"/>
        <v>3.6034236779298583</v>
      </c>
      <c r="M176" s="879">
        <f t="shared" si="18"/>
        <v>55.502771218647979</v>
      </c>
      <c r="N176" s="1148">
        <f t="shared" si="19"/>
        <v>0.61272945973034121</v>
      </c>
      <c r="O176" s="1144">
        <f t="shared" si="20"/>
        <v>1.6320416525102195</v>
      </c>
      <c r="P176" s="166"/>
      <c r="Q176" s="1145">
        <f t="shared" si="21"/>
        <v>0.70667787783827118</v>
      </c>
      <c r="R176" s="318"/>
      <c r="S176" s="318"/>
      <c r="T176" s="318"/>
      <c r="U176" s="318"/>
      <c r="V176" s="318"/>
      <c r="W176" s="318"/>
      <c r="X176" s="318"/>
      <c r="Y176" s="318"/>
      <c r="Z176" s="318"/>
      <c r="AA176" s="318"/>
    </row>
    <row r="177" spans="2:27">
      <c r="B177" s="1139">
        <f>B99</f>
        <v>200</v>
      </c>
      <c r="C177" s="1146">
        <f>C99</f>
        <v>50</v>
      </c>
      <c r="D177" s="1147">
        <f>D176*D92</f>
        <v>234.77460757442279</v>
      </c>
      <c r="E177" s="224" t="s">
        <v>2506</v>
      </c>
      <c r="F177" s="1149">
        <f t="shared" si="14"/>
        <v>3.6954921514884553</v>
      </c>
      <c r="G177" s="224" t="s">
        <v>2506</v>
      </c>
      <c r="H177" s="1141">
        <f t="shared" si="15"/>
        <v>0.27059995232224321</v>
      </c>
      <c r="I177" s="879">
        <f t="shared" si="16"/>
        <v>63.529997616112162</v>
      </c>
      <c r="J177" s="1142" t="s">
        <v>2507</v>
      </c>
      <c r="K177" s="225" t="s">
        <v>2497</v>
      </c>
      <c r="L177" s="1149">
        <f t="shared" si="17"/>
        <v>3.6954921514884558</v>
      </c>
      <c r="M177" s="879">
        <f t="shared" si="18"/>
        <v>54.119990464448634</v>
      </c>
      <c r="N177" s="1148">
        <f t="shared" si="19"/>
        <v>0.6194158734371612</v>
      </c>
      <c r="O177" s="1144">
        <f t="shared" si="20"/>
        <v>1.6144242388412871</v>
      </c>
      <c r="P177" s="166"/>
      <c r="Q177" s="1145">
        <f t="shared" si="21"/>
        <v>0.69101974023183821</v>
      </c>
      <c r="R177" s="318"/>
      <c r="S177" s="318"/>
      <c r="T177" s="318"/>
      <c r="U177" s="318"/>
      <c r="V177" s="318"/>
      <c r="W177" s="318"/>
      <c r="X177" s="318"/>
      <c r="Y177" s="318"/>
      <c r="Z177" s="318"/>
      <c r="AA177" s="318"/>
    </row>
    <row r="178" spans="2:27">
      <c r="B178" s="1139">
        <f>B99</f>
        <v>200</v>
      </c>
      <c r="C178" s="1146">
        <f>C99</f>
        <v>50</v>
      </c>
      <c r="D178" s="1147">
        <f>D177*D92</f>
        <v>239.47009972591124</v>
      </c>
      <c r="E178" s="224" t="s">
        <v>2506</v>
      </c>
      <c r="F178" s="1149">
        <f t="shared" si="14"/>
        <v>3.7894019945182249</v>
      </c>
      <c r="G178" s="224" t="s">
        <v>2506</v>
      </c>
      <c r="H178" s="1141">
        <f t="shared" si="15"/>
        <v>0.26389388126321961</v>
      </c>
      <c r="I178" s="879">
        <f t="shared" si="16"/>
        <v>63.194694063160981</v>
      </c>
      <c r="J178" s="1142" t="s">
        <v>2507</v>
      </c>
      <c r="K178" s="225" t="s">
        <v>2497</v>
      </c>
      <c r="L178" s="1149">
        <f t="shared" si="17"/>
        <v>3.7894019945182249</v>
      </c>
      <c r="M178" s="879">
        <f t="shared" si="18"/>
        <v>52.778776252643922</v>
      </c>
      <c r="N178" s="1148">
        <f t="shared" si="19"/>
        <v>0.62600640581260791</v>
      </c>
      <c r="O178" s="1144">
        <f t="shared" si="20"/>
        <v>1.5974277430946056</v>
      </c>
      <c r="P178" s="166"/>
      <c r="Q178" s="1145">
        <f t="shared" si="21"/>
        <v>0.67575067481126083</v>
      </c>
      <c r="R178" s="318"/>
      <c r="S178" s="318"/>
      <c r="T178" s="318"/>
      <c r="U178" s="318"/>
      <c r="V178" s="318"/>
      <c r="W178" s="318"/>
      <c r="X178" s="318"/>
      <c r="Y178" s="318"/>
      <c r="Z178" s="318"/>
      <c r="AA178" s="318"/>
    </row>
    <row r="179" spans="2:27">
      <c r="B179" s="1139">
        <f>B99</f>
        <v>200</v>
      </c>
      <c r="C179" s="1146">
        <f>C99</f>
        <v>50</v>
      </c>
      <c r="D179" s="1147">
        <f>D178*D92</f>
        <v>244.25950172042945</v>
      </c>
      <c r="E179" s="224" t="s">
        <v>2506</v>
      </c>
      <c r="F179" s="1149">
        <f t="shared" si="14"/>
        <v>3.8851900344085895</v>
      </c>
      <c r="G179" s="224" t="s">
        <v>2506</v>
      </c>
      <c r="H179" s="1141">
        <f t="shared" si="15"/>
        <v>0.25738766730678642</v>
      </c>
      <c r="I179" s="879">
        <f t="shared" si="16"/>
        <v>62.869383365339317</v>
      </c>
      <c r="J179" s="1142" t="s">
        <v>2507</v>
      </c>
      <c r="K179" s="225" t="s">
        <v>2497</v>
      </c>
      <c r="L179" s="1149">
        <f t="shared" si="17"/>
        <v>3.8851900344085895</v>
      </c>
      <c r="M179" s="879">
        <f t="shared" si="18"/>
        <v>51.477533461357282</v>
      </c>
      <c r="N179" s="1148">
        <f t="shared" si="19"/>
        <v>0.63250156906010524</v>
      </c>
      <c r="O179" s="1144">
        <f t="shared" si="20"/>
        <v>1.5810237458952014</v>
      </c>
      <c r="P179" s="166"/>
      <c r="Q179" s="1145">
        <f t="shared" si="21"/>
        <v>0.66085903615167962</v>
      </c>
      <c r="R179" s="318"/>
      <c r="S179" s="318"/>
      <c r="T179" s="318"/>
      <c r="U179" s="318"/>
      <c r="V179" s="318"/>
      <c r="W179" s="318"/>
      <c r="X179" s="318"/>
      <c r="Y179" s="318"/>
      <c r="Z179" s="318"/>
      <c r="AA179" s="318"/>
    </row>
    <row r="180" spans="2:27">
      <c r="B180" s="1139">
        <f>B99</f>
        <v>200</v>
      </c>
      <c r="C180" s="1146">
        <f>C99</f>
        <v>50</v>
      </c>
      <c r="D180" s="1147">
        <f>D179*D92</f>
        <v>249.14469175483805</v>
      </c>
      <c r="E180" s="224" t="s">
        <v>2506</v>
      </c>
      <c r="F180" s="1149">
        <f t="shared" si="14"/>
        <v>3.9828938350967613</v>
      </c>
      <c r="G180" s="224" t="s">
        <v>2506</v>
      </c>
      <c r="H180" s="1141">
        <f t="shared" si="15"/>
        <v>0.25107372714485265</v>
      </c>
      <c r="I180" s="879">
        <f t="shared" si="16"/>
        <v>62.553686357242633</v>
      </c>
      <c r="J180" s="1142" t="s">
        <v>2507</v>
      </c>
      <c r="K180" s="225" t="s">
        <v>2497</v>
      </c>
      <c r="L180" s="1149">
        <f t="shared" si="17"/>
        <v>3.9828938350967609</v>
      </c>
      <c r="M180" s="879">
        <f t="shared" si="18"/>
        <v>50.214745428970531</v>
      </c>
      <c r="N180" s="1148">
        <f t="shared" si="19"/>
        <v>0.63890191845409439</v>
      </c>
      <c r="O180" s="1144">
        <f t="shared" si="20"/>
        <v>1.5651854707521133</v>
      </c>
      <c r="P180" s="166"/>
      <c r="Q180" s="1145">
        <f t="shared" si="21"/>
        <v>0.64633362321541143</v>
      </c>
      <c r="R180" s="318"/>
      <c r="S180" s="318"/>
      <c r="T180" s="318"/>
      <c r="U180" s="318"/>
      <c r="V180" s="318"/>
      <c r="W180" s="318"/>
      <c r="X180" s="318"/>
      <c r="Y180" s="318"/>
      <c r="Z180" s="318"/>
      <c r="AA180" s="318"/>
    </row>
    <row r="181" spans="2:27">
      <c r="B181" s="1139">
        <f>B99</f>
        <v>200</v>
      </c>
      <c r="C181" s="1146">
        <f>C99</f>
        <v>50</v>
      </c>
      <c r="D181" s="1147">
        <f>D180*D92</f>
        <v>254.12758558993482</v>
      </c>
      <c r="E181" s="224" t="s">
        <v>2506</v>
      </c>
      <c r="F181" s="1149">
        <f t="shared" si="14"/>
        <v>4.0825517117986969</v>
      </c>
      <c r="G181" s="224" t="s">
        <v>2506</v>
      </c>
      <c r="H181" s="1141">
        <f t="shared" si="15"/>
        <v>0.24494484591829419</v>
      </c>
      <c r="I181" s="879">
        <f t="shared" si="16"/>
        <v>62.24724229591471</v>
      </c>
      <c r="J181" s="1142" t="s">
        <v>2507</v>
      </c>
      <c r="K181" s="225" t="s">
        <v>2497</v>
      </c>
      <c r="L181" s="1149">
        <f t="shared" si="17"/>
        <v>4.0825517117986969</v>
      </c>
      <c r="M181" s="879">
        <f t="shared" si="18"/>
        <v>48.988969183658845</v>
      </c>
      <c r="N181" s="1148">
        <f t="shared" si="19"/>
        <v>0.64520804943301513</v>
      </c>
      <c r="O181" s="1144">
        <f t="shared" si="20"/>
        <v>1.5498876693785251</v>
      </c>
      <c r="P181" s="166"/>
      <c r="Q181" s="1145">
        <f t="shared" si="21"/>
        <v>0.63216365762652049</v>
      </c>
      <c r="R181" s="318"/>
      <c r="S181" s="318"/>
      <c r="T181" s="318"/>
      <c r="U181" s="318"/>
      <c r="V181" s="318"/>
      <c r="W181" s="318"/>
      <c r="X181" s="318"/>
      <c r="Y181" s="318"/>
      <c r="Z181" s="318"/>
      <c r="AA181" s="318"/>
    </row>
    <row r="182" spans="2:27">
      <c r="B182" s="1139">
        <f>B99</f>
        <v>200</v>
      </c>
      <c r="C182" s="1146">
        <f>C99</f>
        <v>50</v>
      </c>
      <c r="D182" s="1147">
        <f>D181*D92</f>
        <v>259.21013730173354</v>
      </c>
      <c r="E182" s="224" t="s">
        <v>2506</v>
      </c>
      <c r="F182" s="1149">
        <f t="shared" si="14"/>
        <v>4.1842027460346705</v>
      </c>
      <c r="G182" s="224" t="s">
        <v>2506</v>
      </c>
      <c r="H182" s="1141">
        <f t="shared" si="15"/>
        <v>0.23899415508669855</v>
      </c>
      <c r="I182" s="879">
        <f t="shared" si="16"/>
        <v>61.949707754334923</v>
      </c>
      <c r="J182" s="1142" t="s">
        <v>2507</v>
      </c>
      <c r="K182" s="225" t="s">
        <v>2497</v>
      </c>
      <c r="L182" s="1149">
        <f t="shared" si="17"/>
        <v>4.1842027460346713</v>
      </c>
      <c r="M182" s="879">
        <f t="shared" si="18"/>
        <v>47.798831017339701</v>
      </c>
      <c r="N182" s="1148">
        <f t="shared" si="19"/>
        <v>0.65142059482937353</v>
      </c>
      <c r="O182" s="1144">
        <f t="shared" si="20"/>
        <v>1.5351065163390019</v>
      </c>
      <c r="P182" s="166"/>
      <c r="Q182" s="1145">
        <f t="shared" si="21"/>
        <v>0.61833876325836179</v>
      </c>
      <c r="R182" s="318"/>
      <c r="S182" s="318"/>
      <c r="T182" s="318"/>
      <c r="U182" s="318"/>
      <c r="V182" s="318"/>
      <c r="W182" s="318"/>
      <c r="X182" s="318"/>
      <c r="Y182" s="318"/>
      <c r="Z182" s="318"/>
      <c r="AA182" s="318"/>
    </row>
    <row r="183" spans="2:27">
      <c r="B183" s="1139">
        <f>B99</f>
        <v>200</v>
      </c>
      <c r="C183" s="1146">
        <f>C99</f>
        <v>50</v>
      </c>
      <c r="D183" s="1147">
        <f>D182*D92</f>
        <v>264.3943400477682</v>
      </c>
      <c r="E183" s="224" t="s">
        <v>2506</v>
      </c>
      <c r="F183" s="1149">
        <f t="shared" si="14"/>
        <v>4.2878868009553637</v>
      </c>
      <c r="G183" s="224" t="s">
        <v>2506</v>
      </c>
      <c r="H183" s="1141">
        <f t="shared" si="15"/>
        <v>0.23321511187683283</v>
      </c>
      <c r="I183" s="879">
        <f t="shared" si="16"/>
        <v>61.660755593841643</v>
      </c>
      <c r="J183" s="1142" t="s">
        <v>2507</v>
      </c>
      <c r="K183" s="225" t="s">
        <v>2497</v>
      </c>
      <c r="L183" s="1149">
        <f t="shared" si="17"/>
        <v>4.2878868009553637</v>
      </c>
      <c r="M183" s="879">
        <f t="shared" si="18"/>
        <v>46.643022375366563</v>
      </c>
      <c r="N183" s="1148">
        <f t="shared" si="19"/>
        <v>0.65754022223110453</v>
      </c>
      <c r="O183" s="1144">
        <f t="shared" si="20"/>
        <v>1.5208195121613894</v>
      </c>
      <c r="P183" s="166"/>
      <c r="Q183" s="1145">
        <f t="shared" si="21"/>
        <v>0.60484894703985059</v>
      </c>
      <c r="R183" s="318"/>
      <c r="S183" s="318"/>
      <c r="T183" s="318"/>
      <c r="U183" s="318"/>
      <c r="V183" s="318"/>
      <c r="W183" s="318"/>
      <c r="X183" s="318"/>
      <c r="Y183" s="318"/>
      <c r="Z183" s="318"/>
      <c r="AA183" s="318"/>
    </row>
    <row r="184" spans="2:27">
      <c r="B184" s="1139">
        <f>B99</f>
        <v>200</v>
      </c>
      <c r="C184" s="1146">
        <f>C99</f>
        <v>50</v>
      </c>
      <c r="D184" s="1147">
        <f>D183*D92</f>
        <v>269.68222684872359</v>
      </c>
      <c r="E184" s="224" t="s">
        <v>2506</v>
      </c>
      <c r="F184" s="1149">
        <f t="shared" si="14"/>
        <v>4.3936445369744721</v>
      </c>
      <c r="G184" s="224" t="s">
        <v>2506</v>
      </c>
      <c r="H184" s="1141">
        <f t="shared" si="15"/>
        <v>0.22760148017996346</v>
      </c>
      <c r="I184" s="879">
        <f t="shared" si="16"/>
        <v>61.380074008998172</v>
      </c>
      <c r="J184" s="1142" t="s">
        <v>2507</v>
      </c>
      <c r="K184" s="225" t="s">
        <v>2497</v>
      </c>
      <c r="L184" s="1149">
        <f t="shared" si="17"/>
        <v>4.3936445369744721</v>
      </c>
      <c r="M184" s="879">
        <f t="shared" si="18"/>
        <v>45.520296035992693</v>
      </c>
      <c r="N184" s="1148">
        <f t="shared" si="19"/>
        <v>0.6635676314686606</v>
      </c>
      <c r="O184" s="1144">
        <f t="shared" si="20"/>
        <v>1.5070053941400374</v>
      </c>
      <c r="P184" s="166"/>
      <c r="Q184" s="1145">
        <f t="shared" si="21"/>
        <v>0.59168458089403442</v>
      </c>
      <c r="R184" s="318"/>
      <c r="S184" s="318"/>
      <c r="T184" s="318"/>
      <c r="U184" s="318"/>
      <c r="V184" s="318"/>
      <c r="W184" s="318"/>
      <c r="X184" s="318"/>
      <c r="Y184" s="318"/>
      <c r="Z184" s="318"/>
      <c r="AA184" s="318"/>
    </row>
    <row r="185" spans="2:27">
      <c r="B185" s="1139">
        <f>B99</f>
        <v>200</v>
      </c>
      <c r="C185" s="1146">
        <f>C99</f>
        <v>50</v>
      </c>
      <c r="D185" s="1147">
        <f>D184*D92</f>
        <v>275.07587138569806</v>
      </c>
      <c r="E185" s="224" t="s">
        <v>2506</v>
      </c>
      <c r="F185" s="1149">
        <f t="shared" si="14"/>
        <v>4.5015174277139609</v>
      </c>
      <c r="G185" s="224" t="s">
        <v>2506</v>
      </c>
      <c r="H185" s="1141">
        <f t="shared" si="15"/>
        <v>0.2221473127802234</v>
      </c>
      <c r="I185" s="879">
        <f t="shared" si="16"/>
        <v>61.107365639011171</v>
      </c>
      <c r="J185" s="1142" t="s">
        <v>2507</v>
      </c>
      <c r="K185" s="225" t="s">
        <v>2497</v>
      </c>
      <c r="L185" s="1149">
        <f t="shared" si="17"/>
        <v>4.5015174277139609</v>
      </c>
      <c r="M185" s="879">
        <f t="shared" si="18"/>
        <v>44.429462556044676</v>
      </c>
      <c r="N185" s="1148">
        <f t="shared" si="19"/>
        <v>0.66950355222248981</v>
      </c>
      <c r="O185" s="1144">
        <f t="shared" si="20"/>
        <v>1.4936440541359211</v>
      </c>
      <c r="P185" s="166"/>
      <c r="Q185" s="1145">
        <f t="shared" si="21"/>
        <v>0.57883638472959908</v>
      </c>
      <c r="R185" s="318"/>
      <c r="S185" s="318"/>
      <c r="T185" s="318"/>
      <c r="U185" s="318"/>
      <c r="V185" s="318"/>
      <c r="W185" s="318"/>
      <c r="X185" s="318"/>
      <c r="Y185" s="318"/>
      <c r="Z185" s="318"/>
      <c r="AA185" s="318"/>
    </row>
    <row r="186" spans="2:27">
      <c r="B186" s="1139">
        <f>B99</f>
        <v>200</v>
      </c>
      <c r="C186" s="1146">
        <f>C99</f>
        <v>50</v>
      </c>
      <c r="D186" s="1147">
        <f>D185*D92</f>
        <v>280.57738881341203</v>
      </c>
      <c r="E186" s="224" t="s">
        <v>2506</v>
      </c>
      <c r="F186" s="1149">
        <f t="shared" si="14"/>
        <v>4.6115477762682406</v>
      </c>
      <c r="G186" s="224" t="s">
        <v>2506</v>
      </c>
      <c r="H186" s="1141">
        <f t="shared" si="15"/>
        <v>0.21684693480704229</v>
      </c>
      <c r="I186" s="879">
        <f t="shared" si="16"/>
        <v>60.842346740352113</v>
      </c>
      <c r="J186" s="1142" t="s">
        <v>2507</v>
      </c>
      <c r="K186" s="225" t="s">
        <v>2497</v>
      </c>
      <c r="L186" s="1149">
        <f t="shared" si="17"/>
        <v>4.6115477762682406</v>
      </c>
      <c r="M186" s="879">
        <f t="shared" si="18"/>
        <v>43.369386961408459</v>
      </c>
      <c r="N186" s="1148">
        <f t="shared" si="19"/>
        <v>0.6753487417457813</v>
      </c>
      <c r="O186" s="1144">
        <f t="shared" si="20"/>
        <v>1.4807164627492944</v>
      </c>
      <c r="P186" s="166"/>
      <c r="Q186" s="1145">
        <f t="shared" si="21"/>
        <v>0.56629541041235976</v>
      </c>
      <c r="R186" s="318"/>
      <c r="S186" s="318"/>
      <c r="T186" s="318"/>
      <c r="U186" s="318"/>
      <c r="V186" s="318"/>
      <c r="W186" s="318"/>
      <c r="X186" s="318"/>
      <c r="Y186" s="318"/>
      <c r="Z186" s="318"/>
      <c r="AA186" s="318"/>
    </row>
    <row r="187" spans="2:27">
      <c r="B187" s="1139">
        <f>B99</f>
        <v>200</v>
      </c>
      <c r="C187" s="1146">
        <f>C99</f>
        <v>50</v>
      </c>
      <c r="D187" s="1147">
        <f>D186*D92</f>
        <v>286.18893658968028</v>
      </c>
      <c r="E187" s="224" t="s">
        <v>2506</v>
      </c>
      <c r="F187" s="1149">
        <f t="shared" si="14"/>
        <v>4.7237787317936055</v>
      </c>
      <c r="G187" s="224" t="s">
        <v>2506</v>
      </c>
      <c r="H187" s="1141">
        <f t="shared" si="15"/>
        <v>0.21169492831437151</v>
      </c>
      <c r="I187" s="879">
        <f t="shared" si="16"/>
        <v>60.584746415718577</v>
      </c>
      <c r="J187" s="1142" t="s">
        <v>2507</v>
      </c>
      <c r="K187" s="225" t="s">
        <v>2497</v>
      </c>
      <c r="L187" s="1149">
        <f t="shared" si="17"/>
        <v>4.7237787317936055</v>
      </c>
      <c r="M187" s="879">
        <f t="shared" si="18"/>
        <v>42.338985662874293</v>
      </c>
      <c r="N187" s="1148">
        <f t="shared" si="19"/>
        <v>0.68110398269756545</v>
      </c>
      <c r="O187" s="1144">
        <f t="shared" si="20"/>
        <v>1.4682045993027701</v>
      </c>
      <c r="P187" s="166"/>
      <c r="Q187" s="1145">
        <f t="shared" si="21"/>
        <v>0.55405302664961498</v>
      </c>
      <c r="R187" s="318"/>
      <c r="S187" s="318"/>
      <c r="T187" s="318"/>
      <c r="U187" s="318"/>
      <c r="V187" s="318"/>
      <c r="W187" s="318"/>
      <c r="X187" s="318"/>
      <c r="Y187" s="318"/>
      <c r="Z187" s="318"/>
      <c r="AA187" s="318"/>
    </row>
    <row r="188" spans="2:27">
      <c r="B188" s="1139">
        <f>B99</f>
        <v>200</v>
      </c>
      <c r="C188" s="1146">
        <f>C99</f>
        <v>50</v>
      </c>
      <c r="D188" s="1147">
        <f>D187*D92</f>
        <v>291.91271532147391</v>
      </c>
      <c r="E188" s="224" t="s">
        <v>2506</v>
      </c>
      <c r="F188" s="1149">
        <f t="shared" si="14"/>
        <v>4.8382543064294783</v>
      </c>
      <c r="G188" s="224" t="s">
        <v>2506</v>
      </c>
      <c r="H188" s="1141">
        <f t="shared" si="15"/>
        <v>0.20668611789816754</v>
      </c>
      <c r="I188" s="879">
        <f t="shared" si="16"/>
        <v>60.334305894908375</v>
      </c>
      <c r="J188" s="1142" t="s">
        <v>2507</v>
      </c>
      <c r="K188" s="225" t="s">
        <v>2497</v>
      </c>
      <c r="L188" s="1149">
        <f t="shared" si="17"/>
        <v>4.8382543064294783</v>
      </c>
      <c r="M188" s="879">
        <f t="shared" si="18"/>
        <v>41.337223579633509</v>
      </c>
      <c r="N188" s="1148">
        <f t="shared" si="19"/>
        <v>0.68677008108144943</v>
      </c>
      <c r="O188" s="1144">
        <f t="shared" si="20"/>
        <v>1.4560913871281504</v>
      </c>
      <c r="P188" s="166"/>
      <c r="Q188" s="1145">
        <f t="shared" si="21"/>
        <v>0.54210090472555972</v>
      </c>
      <c r="R188" s="318"/>
      <c r="S188" s="318"/>
      <c r="T188" s="318"/>
      <c r="U188" s="318"/>
      <c r="V188" s="318"/>
      <c r="W188" s="318"/>
      <c r="X188" s="318"/>
      <c r="Y188" s="318"/>
      <c r="Z188" s="318"/>
      <c r="AA188" s="318"/>
    </row>
    <row r="189" spans="2:27">
      <c r="B189" s="1139">
        <f>B99</f>
        <v>200</v>
      </c>
      <c r="C189" s="1146">
        <f>C99</f>
        <v>50</v>
      </c>
      <c r="D189" s="1147">
        <f>D188*D92</f>
        <v>297.75096962790337</v>
      </c>
      <c r="E189" s="224" t="s">
        <v>2506</v>
      </c>
      <c r="F189" s="1149">
        <f t="shared" si="14"/>
        <v>4.9550193925580679</v>
      </c>
      <c r="G189" s="224" t="s">
        <v>2506</v>
      </c>
      <c r="H189" s="1141">
        <f t="shared" si="15"/>
        <v>0.20181555727146047</v>
      </c>
      <c r="I189" s="879">
        <f t="shared" si="16"/>
        <v>60.090777863573024</v>
      </c>
      <c r="J189" s="1142" t="s">
        <v>2507</v>
      </c>
      <c r="K189" s="225" t="s">
        <v>2497</v>
      </c>
      <c r="L189" s="1149">
        <f t="shared" si="17"/>
        <v>4.9550193925580679</v>
      </c>
      <c r="M189" s="879">
        <f t="shared" si="18"/>
        <v>40.363111454292095</v>
      </c>
      <c r="N189" s="1148">
        <f t="shared" si="19"/>
        <v>0.69234786428546802</v>
      </c>
      <c r="O189" s="1144">
        <f t="shared" si="20"/>
        <v>1.4443606336997108</v>
      </c>
      <c r="P189" s="166"/>
      <c r="Q189" s="1145">
        <f t="shared" si="21"/>
        <v>0.53043100503076235</v>
      </c>
      <c r="R189" s="318"/>
      <c r="S189" s="318"/>
      <c r="T189" s="318"/>
      <c r="U189" s="318"/>
      <c r="V189" s="318"/>
      <c r="W189" s="318"/>
      <c r="X189" s="318"/>
      <c r="Y189" s="318"/>
      <c r="Z189" s="318"/>
      <c r="AA189" s="318"/>
    </row>
    <row r="190" spans="2:27">
      <c r="B190" s="1139">
        <f>B99</f>
        <v>200</v>
      </c>
      <c r="C190" s="1146">
        <f>C99</f>
        <v>50</v>
      </c>
      <c r="D190" s="1147">
        <f>D189*D92</f>
        <v>303.70598902046146</v>
      </c>
      <c r="E190" s="224" t="s">
        <v>2506</v>
      </c>
      <c r="F190" s="1149">
        <f t="shared" si="14"/>
        <v>5.0741197804092293</v>
      </c>
      <c r="G190" s="224" t="s">
        <v>2506</v>
      </c>
      <c r="H190" s="1141">
        <f t="shared" si="15"/>
        <v>0.19707851672341675</v>
      </c>
      <c r="I190" s="879">
        <f t="shared" si="16"/>
        <v>59.853925836170838</v>
      </c>
      <c r="J190" s="1142" t="s">
        <v>2507</v>
      </c>
      <c r="K190" s="225" t="s">
        <v>2497</v>
      </c>
      <c r="L190" s="1149">
        <f t="shared" si="17"/>
        <v>5.0741197804092293</v>
      </c>
      <c r="M190" s="879">
        <f t="shared" si="18"/>
        <v>39.415703344683351</v>
      </c>
      <c r="N190" s="1148">
        <f t="shared" si="19"/>
        <v>0.69783817921870983</v>
      </c>
      <c r="O190" s="1144">
        <f t="shared" si="20"/>
        <v>1.4329969752007357</v>
      </c>
      <c r="P190" s="166"/>
      <c r="Q190" s="1145">
        <f t="shared" si="21"/>
        <v>0.51903556433313325</v>
      </c>
      <c r="R190" s="318"/>
      <c r="S190" s="318"/>
      <c r="T190" s="318"/>
      <c r="U190" s="318"/>
      <c r="V190" s="318"/>
      <c r="W190" s="318"/>
      <c r="X190" s="318"/>
      <c r="Y190" s="318"/>
      <c r="Z190" s="318"/>
      <c r="AA190" s="318"/>
    </row>
    <row r="191" spans="2:27">
      <c r="B191" s="1139">
        <f>B99</f>
        <v>200</v>
      </c>
      <c r="C191" s="1146">
        <f>C99</f>
        <v>50</v>
      </c>
      <c r="D191" s="1147">
        <f>D190*D92</f>
        <v>309.78010880087072</v>
      </c>
      <c r="E191" s="224" t="s">
        <v>2506</v>
      </c>
      <c r="F191" s="1149">
        <f t="shared" si="14"/>
        <v>5.195602176017414</v>
      </c>
      <c r="G191" s="224" t="s">
        <v>2506</v>
      </c>
      <c r="H191" s="1141">
        <f t="shared" si="15"/>
        <v>0.19247047139520027</v>
      </c>
      <c r="I191" s="879">
        <f t="shared" si="16"/>
        <v>59.62352356976001</v>
      </c>
      <c r="J191" s="1142" t="s">
        <v>2507</v>
      </c>
      <c r="K191" s="225" t="s">
        <v>2497</v>
      </c>
      <c r="L191" s="1149">
        <f t="shared" si="17"/>
        <v>5.1956021760174149</v>
      </c>
      <c r="M191" s="879">
        <f t="shared" si="18"/>
        <v>38.494094279040048</v>
      </c>
      <c r="N191" s="1148">
        <f t="shared" si="19"/>
        <v>0.70324189054055575</v>
      </c>
      <c r="O191" s="1144">
        <f t="shared" si="20"/>
        <v>1.4219858251494908</v>
      </c>
      <c r="P191" s="166"/>
      <c r="Q191" s="1145">
        <f t="shared" si="21"/>
        <v>0.50790708374181426</v>
      </c>
      <c r="R191" s="318"/>
      <c r="S191" s="318"/>
      <c r="T191" s="318"/>
      <c r="U191" s="318"/>
      <c r="V191" s="318"/>
      <c r="W191" s="318"/>
      <c r="X191" s="318"/>
      <c r="Y191" s="318"/>
      <c r="Z191" s="318"/>
      <c r="AA191" s="318"/>
    </row>
    <row r="192" spans="2:27">
      <c r="B192" s="1139">
        <f>B99</f>
        <v>200</v>
      </c>
      <c r="C192" s="1146">
        <f>C99</f>
        <v>50</v>
      </c>
      <c r="D192" s="1147">
        <f>D191*D92</f>
        <v>315.97571097688814</v>
      </c>
      <c r="E192" s="224" t="s">
        <v>2506</v>
      </c>
      <c r="F192" s="1149">
        <f t="shared" si="14"/>
        <v>5.3195142195377629</v>
      </c>
      <c r="G192" s="224" t="s">
        <v>2506</v>
      </c>
      <c r="H192" s="1141">
        <f t="shared" si="15"/>
        <v>0.18798709031120789</v>
      </c>
      <c r="I192" s="879">
        <f t="shared" si="16"/>
        <v>59.399354515560397</v>
      </c>
      <c r="J192" s="1142" t="s">
        <v>2507</v>
      </c>
      <c r="K192" s="225" t="s">
        <v>2497</v>
      </c>
      <c r="L192" s="1149">
        <f t="shared" si="17"/>
        <v>5.3195142195377629</v>
      </c>
      <c r="M192" s="879">
        <f t="shared" si="18"/>
        <v>37.59741806224158</v>
      </c>
      <c r="N192" s="1148">
        <f t="shared" si="19"/>
        <v>0.70855987897853268</v>
      </c>
      <c r="O192" s="1144">
        <f t="shared" si="20"/>
        <v>1.4113133267460902</v>
      </c>
      <c r="P192" s="166"/>
      <c r="Q192" s="1145">
        <f t="shared" si="21"/>
        <v>0.4970383173191158</v>
      </c>
      <c r="R192" s="318"/>
      <c r="S192" s="318"/>
      <c r="T192" s="318"/>
      <c r="U192" s="318"/>
      <c r="V192" s="318"/>
      <c r="W192" s="318"/>
      <c r="X192" s="318"/>
      <c r="Y192" s="318"/>
      <c r="Z192" s="318"/>
      <c r="AA192" s="318"/>
    </row>
    <row r="193" spans="2:27">
      <c r="B193" s="1139">
        <f>B99</f>
        <v>200</v>
      </c>
      <c r="C193" s="1146">
        <f>C99</f>
        <v>50</v>
      </c>
      <c r="D193" s="1147">
        <f>D192*D92</f>
        <v>322.29522519642592</v>
      </c>
      <c r="E193" s="224" t="s">
        <v>2506</v>
      </c>
      <c r="F193" s="1149">
        <f t="shared" si="14"/>
        <v>5.4459045039285181</v>
      </c>
      <c r="G193" s="224" t="s">
        <v>2506</v>
      </c>
      <c r="H193" s="1141">
        <f t="shared" si="15"/>
        <v>0.18362422610947896</v>
      </c>
      <c r="I193" s="879">
        <f t="shared" si="16"/>
        <v>59.181211305473951</v>
      </c>
      <c r="J193" s="1142" t="s">
        <v>2507</v>
      </c>
      <c r="K193" s="225" t="s">
        <v>2497</v>
      </c>
      <c r="L193" s="1149">
        <f t="shared" si="17"/>
        <v>5.4459045039285181</v>
      </c>
      <c r="M193" s="879">
        <f t="shared" si="18"/>
        <v>36.724845221895791</v>
      </c>
      <c r="N193" s="1148">
        <f t="shared" si="19"/>
        <v>0.71379303973096075</v>
      </c>
      <c r="O193" s="1144">
        <f t="shared" si="20"/>
        <v>1.4009663086332629</v>
      </c>
      <c r="P193" s="166"/>
      <c r="Q193" s="1145">
        <f t="shared" si="21"/>
        <v>0.48642226129894744</v>
      </c>
      <c r="R193" s="318"/>
      <c r="S193" s="318"/>
      <c r="T193" s="318"/>
      <c r="U193" s="318"/>
      <c r="V193" s="318"/>
      <c r="W193" s="318"/>
      <c r="X193" s="318"/>
      <c r="Y193" s="318"/>
      <c r="Z193" s="318"/>
      <c r="AA193" s="318"/>
    </row>
    <row r="194" spans="2:27">
      <c r="B194" s="1139">
        <f>B99</f>
        <v>200</v>
      </c>
      <c r="C194" s="1146">
        <f>C99</f>
        <v>50</v>
      </c>
      <c r="D194" s="1147">
        <f>D193*D92</f>
        <v>328.74112970035446</v>
      </c>
      <c r="E194" s="224" t="s">
        <v>2506</v>
      </c>
      <c r="F194" s="1149">
        <f t="shared" si="14"/>
        <v>5.574822594007089</v>
      </c>
      <c r="G194" s="224" t="s">
        <v>2506</v>
      </c>
      <c r="H194" s="1141">
        <f t="shared" si="15"/>
        <v>0.17937790541980581</v>
      </c>
      <c r="I194" s="879">
        <f t="shared" si="16"/>
        <v>58.968895270990288</v>
      </c>
      <c r="J194" s="1142" t="s">
        <v>2507</v>
      </c>
      <c r="K194" s="225" t="s">
        <v>2497</v>
      </c>
      <c r="L194" s="1149">
        <f t="shared" si="17"/>
        <v>5.574822594007089</v>
      </c>
      <c r="M194" s="879">
        <f t="shared" si="18"/>
        <v>35.875581083961158</v>
      </c>
      <c r="N194" s="1148">
        <f t="shared" si="19"/>
        <v>0.71894228095070789</v>
      </c>
      <c r="O194" s="1144">
        <f t="shared" si="20"/>
        <v>1.3909322437924081</v>
      </c>
      <c r="P194" s="166"/>
      <c r="Q194" s="1145">
        <f t="shared" si="21"/>
        <v>0.47605214387330841</v>
      </c>
      <c r="R194" s="318"/>
      <c r="S194" s="318"/>
      <c r="T194" s="318"/>
      <c r="U194" s="318"/>
      <c r="V194" s="318"/>
      <c r="W194" s="318"/>
      <c r="X194" s="318"/>
      <c r="Y194" s="318"/>
      <c r="Z194" s="318"/>
      <c r="AA194" s="318"/>
    </row>
    <row r="195" spans="2:27">
      <c r="B195" s="1139">
        <f>B99</f>
        <v>200</v>
      </c>
      <c r="C195" s="1146">
        <f>C99</f>
        <v>50</v>
      </c>
      <c r="D195" s="1147">
        <f>D194*D92</f>
        <v>335.31595229436158</v>
      </c>
      <c r="E195" s="224" t="s">
        <v>2506</v>
      </c>
      <c r="F195" s="1149">
        <f t="shared" si="14"/>
        <v>5.7063190458872315</v>
      </c>
      <c r="G195" s="224" t="s">
        <v>2506</v>
      </c>
      <c r="H195" s="1141">
        <f t="shared" si="15"/>
        <v>0.1752443198423578</v>
      </c>
      <c r="I195" s="879">
        <f t="shared" si="16"/>
        <v>58.762215992117888</v>
      </c>
      <c r="J195" s="1142" t="s">
        <v>2507</v>
      </c>
      <c r="K195" s="225" t="s">
        <v>2497</v>
      </c>
      <c r="L195" s="1149">
        <f t="shared" si="17"/>
        <v>5.7063190458872315</v>
      </c>
      <c r="M195" s="879">
        <f t="shared" si="18"/>
        <v>35.048863968471558</v>
      </c>
      <c r="N195" s="1148">
        <f t="shared" si="19"/>
        <v>0.72400852230653912</v>
      </c>
      <c r="O195" s="1144">
        <f t="shared" si="20"/>
        <v>1.381199211321726</v>
      </c>
      <c r="P195" s="166"/>
      <c r="Q195" s="1145">
        <f t="shared" si="21"/>
        <v>0.46592141551117755</v>
      </c>
      <c r="R195" s="318"/>
      <c r="S195" s="318"/>
      <c r="T195" s="318"/>
      <c r="U195" s="318"/>
      <c r="V195" s="318"/>
      <c r="W195" s="318"/>
      <c r="X195" s="318"/>
      <c r="Y195" s="318"/>
      <c r="Z195" s="318"/>
      <c r="AA195" s="318"/>
    </row>
    <row r="196" spans="2:27">
      <c r="B196" s="1139">
        <f>B99</f>
        <v>200</v>
      </c>
      <c r="C196" s="1146">
        <f>C99</f>
        <v>50</v>
      </c>
      <c r="D196" s="1147">
        <f>D195*D92</f>
        <v>342.02227134024884</v>
      </c>
      <c r="E196" s="224" t="s">
        <v>2506</v>
      </c>
      <c r="F196" s="1149">
        <f t="shared" si="14"/>
        <v>5.840445426804977</v>
      </c>
      <c r="G196" s="224" t="s">
        <v>2506</v>
      </c>
      <c r="H196" s="1141">
        <f t="shared" si="15"/>
        <v>0.17121981748351875</v>
      </c>
      <c r="I196" s="879">
        <f t="shared" si="16"/>
        <v>58.560990874175936</v>
      </c>
      <c r="J196" s="1142" t="s">
        <v>2507</v>
      </c>
      <c r="K196" s="225" t="s">
        <v>2497</v>
      </c>
      <c r="L196" s="1149">
        <f t="shared" si="17"/>
        <v>5.840445426804977</v>
      </c>
      <c r="M196" s="879">
        <f t="shared" si="18"/>
        <v>34.243963496703749</v>
      </c>
      <c r="N196" s="1148">
        <f t="shared" si="19"/>
        <v>0.72899269361867336</v>
      </c>
      <c r="O196" s="1144">
        <f t="shared" si="20"/>
        <v>1.3717558608661269</v>
      </c>
      <c r="P196" s="166"/>
      <c r="Q196" s="1145">
        <f t="shared" si="21"/>
        <v>0.45602373977675476</v>
      </c>
      <c r="R196" s="318"/>
      <c r="S196" s="318"/>
      <c r="T196" s="318"/>
      <c r="U196" s="318"/>
      <c r="V196" s="318"/>
      <c r="W196" s="318"/>
      <c r="X196" s="318"/>
      <c r="Y196" s="318"/>
      <c r="Z196" s="318"/>
      <c r="AA196" s="318"/>
    </row>
    <row r="197" spans="2:27">
      <c r="B197" s="1139">
        <f>B99</f>
        <v>200</v>
      </c>
      <c r="C197" s="1146">
        <f>C99</f>
        <v>50</v>
      </c>
      <c r="D197" s="1147">
        <f>D196*D92</f>
        <v>348.86271676705383</v>
      </c>
      <c r="E197" s="224" t="s">
        <v>2506</v>
      </c>
      <c r="F197" s="1149">
        <f t="shared" si="14"/>
        <v>5.9772543353410761</v>
      </c>
      <c r="G197" s="224" t="s">
        <v>2506</v>
      </c>
      <c r="H197" s="1141">
        <f t="shared" si="15"/>
        <v>0.16730089500916939</v>
      </c>
      <c r="I197" s="879">
        <f t="shared" si="16"/>
        <v>58.365044750458466</v>
      </c>
      <c r="J197" s="1142" t="s">
        <v>2507</v>
      </c>
      <c r="K197" s="225" t="s">
        <v>2497</v>
      </c>
      <c r="L197" s="1149">
        <f t="shared" si="17"/>
        <v>5.977254335341077</v>
      </c>
      <c r="M197" s="879">
        <f t="shared" si="18"/>
        <v>33.460179001833872</v>
      </c>
      <c r="N197" s="1148">
        <f t="shared" si="19"/>
        <v>0.73389573356531024</v>
      </c>
      <c r="O197" s="1144">
        <f t="shared" si="20"/>
        <v>1.3625913794892075</v>
      </c>
      <c r="P197" s="166"/>
      <c r="Q197" s="1145">
        <f t="shared" si="21"/>
        <v>0.44635298461636719</v>
      </c>
      <c r="R197" s="318"/>
      <c r="S197" s="318"/>
      <c r="T197" s="318"/>
      <c r="U197" s="318"/>
      <c r="V197" s="318"/>
      <c r="W197" s="318"/>
      <c r="X197" s="318"/>
      <c r="Y197" s="318"/>
      <c r="Z197" s="318"/>
      <c r="AA197" s="318"/>
    </row>
    <row r="198" spans="2:27">
      <c r="B198" s="1139">
        <f>B99</f>
        <v>200</v>
      </c>
      <c r="C198" s="1146">
        <f>C99</f>
        <v>50</v>
      </c>
      <c r="D198" s="1147">
        <f>D197*D92</f>
        <v>355.83997110239488</v>
      </c>
      <c r="E198" s="224" t="s">
        <v>2506</v>
      </c>
      <c r="F198" s="1149">
        <f t="shared" si="14"/>
        <v>6.1167994220478974</v>
      </c>
      <c r="G198" s="224" t="s">
        <v>2506</v>
      </c>
      <c r="H198" s="1141">
        <f t="shared" si="15"/>
        <v>0.16348419017885682</v>
      </c>
      <c r="I198" s="879">
        <f t="shared" si="16"/>
        <v>58.174209508942837</v>
      </c>
      <c r="J198" s="1142" t="s">
        <v>2507</v>
      </c>
      <c r="K198" s="225" t="s">
        <v>2497</v>
      </c>
      <c r="L198" s="1149">
        <f t="shared" si="17"/>
        <v>6.1167994220478983</v>
      </c>
      <c r="M198" s="879">
        <f t="shared" si="18"/>
        <v>32.696838035771364</v>
      </c>
      <c r="N198" s="1148">
        <f t="shared" si="19"/>
        <v>0.73871858845701455</v>
      </c>
      <c r="O198" s="1144">
        <f t="shared" si="20"/>
        <v>1.3536954607961502</v>
      </c>
      <c r="P198" s="166"/>
      <c r="Q198" s="1145">
        <f t="shared" si="21"/>
        <v>0.43690321408553218</v>
      </c>
      <c r="R198" s="318"/>
      <c r="S198" s="318"/>
      <c r="T198" s="318"/>
      <c r="U198" s="318"/>
      <c r="V198" s="318"/>
      <c r="W198" s="318"/>
      <c r="X198" s="318"/>
      <c r="Y198" s="318"/>
      <c r="Z198" s="318"/>
      <c r="AA198" s="318"/>
    </row>
    <row r="199" spans="2:27">
      <c r="B199" s="1139">
        <f>B99</f>
        <v>200</v>
      </c>
      <c r="C199" s="1146">
        <f>C99</f>
        <v>50</v>
      </c>
      <c r="D199" s="1147">
        <f>D198*D92</f>
        <v>362.95677052444279</v>
      </c>
      <c r="E199" s="224" t="s">
        <v>2506</v>
      </c>
      <c r="F199" s="1149">
        <f t="shared" si="14"/>
        <v>6.2591354104888559</v>
      </c>
      <c r="G199" s="224" t="s">
        <v>2506</v>
      </c>
      <c r="H199" s="1141">
        <f t="shared" si="15"/>
        <v>0.15976647482721534</v>
      </c>
      <c r="I199" s="879">
        <f t="shared" si="16"/>
        <v>57.988323741360766</v>
      </c>
      <c r="J199" s="1142" t="s">
        <v>2507</v>
      </c>
      <c r="K199" s="225" t="s">
        <v>2497</v>
      </c>
      <c r="L199" s="1149">
        <f t="shared" si="17"/>
        <v>6.2591354104888559</v>
      </c>
      <c r="M199" s="879">
        <f t="shared" si="18"/>
        <v>31.953294965443067</v>
      </c>
      <c r="N199" s="1148">
        <f t="shared" si="19"/>
        <v>0.74346221107598387</v>
      </c>
      <c r="O199" s="1144">
        <f t="shared" si="20"/>
        <v>1.345058276133146</v>
      </c>
      <c r="P199" s="166"/>
      <c r="Q199" s="1145">
        <f t="shared" si="21"/>
        <v>0.42766868048966994</v>
      </c>
      <c r="R199" s="318"/>
      <c r="S199" s="318"/>
      <c r="T199" s="318"/>
      <c r="U199" s="318"/>
      <c r="V199" s="318"/>
      <c r="W199" s="318"/>
      <c r="X199" s="318"/>
      <c r="Y199" s="318"/>
      <c r="Z199" s="318"/>
      <c r="AA199" s="318"/>
    </row>
    <row r="200" spans="2:27">
      <c r="B200" s="1139">
        <f>B99</f>
        <v>200</v>
      </c>
      <c r="C200" s="1146">
        <f>C99</f>
        <v>50</v>
      </c>
      <c r="D200" s="1147">
        <f>D199*D92</f>
        <v>370.21590593493164</v>
      </c>
      <c r="E200" s="224" t="s">
        <v>2506</v>
      </c>
      <c r="F200" s="1149">
        <f t="shared" si="14"/>
        <v>6.4043181186986331</v>
      </c>
      <c r="G200" s="224" t="s">
        <v>2506</v>
      </c>
      <c r="H200" s="1141">
        <f t="shared" si="15"/>
        <v>0.15614464826166402</v>
      </c>
      <c r="I200" s="879">
        <f t="shared" si="16"/>
        <v>57.807232413083199</v>
      </c>
      <c r="J200" s="1142" t="s">
        <v>2507</v>
      </c>
      <c r="K200" s="225" t="s">
        <v>2497</v>
      </c>
      <c r="L200" s="1149">
        <f t="shared" si="17"/>
        <v>6.4043181186986331</v>
      </c>
      <c r="M200" s="879">
        <f t="shared" si="18"/>
        <v>31.228929652332809</v>
      </c>
      <c r="N200" s="1148">
        <f t="shared" si="19"/>
        <v>0.74812755957733335</v>
      </c>
      <c r="O200" s="1144">
        <f t="shared" si="20"/>
        <v>1.3366704477040867</v>
      </c>
      <c r="P200" s="166"/>
      <c r="Q200" s="1145">
        <f t="shared" si="21"/>
        <v>0.41864381691381763</v>
      </c>
      <c r="R200" s="318"/>
      <c r="S200" s="318"/>
      <c r="T200" s="318"/>
      <c r="U200" s="318"/>
      <c r="V200" s="318"/>
      <c r="W200" s="318"/>
      <c r="X200" s="318"/>
      <c r="Y200" s="318"/>
      <c r="Z200" s="318"/>
      <c r="AA200" s="318"/>
    </row>
    <row r="201" spans="2:27">
      <c r="B201" s="1139">
        <f>B99</f>
        <v>200</v>
      </c>
      <c r="C201" s="1146">
        <f>C99</f>
        <v>50</v>
      </c>
      <c r="D201" s="1147">
        <f>D200*D92</f>
        <v>377.6202240536303</v>
      </c>
      <c r="E201" s="224" t="s">
        <v>2506</v>
      </c>
      <c r="F201" s="1149">
        <f t="shared" si="14"/>
        <v>6.5524044810726059</v>
      </c>
      <c r="G201" s="224" t="s">
        <v>2506</v>
      </c>
      <c r="H201" s="1141">
        <f t="shared" si="15"/>
        <v>0.15261573104783413</v>
      </c>
      <c r="I201" s="879">
        <f t="shared" si="16"/>
        <v>57.630786552391704</v>
      </c>
      <c r="J201" s="1142" t="s">
        <v>2507</v>
      </c>
      <c r="K201" s="225" t="s">
        <v>2497</v>
      </c>
      <c r="L201" s="1149">
        <f t="shared" si="17"/>
        <v>6.5524044810726059</v>
      </c>
      <c r="M201" s="879">
        <f t="shared" si="18"/>
        <v>30.523146209566825</v>
      </c>
      <c r="N201" s="1148">
        <f t="shared" si="19"/>
        <v>0.7527155964496629</v>
      </c>
      <c r="O201" s="1144">
        <f t="shared" si="20"/>
        <v>1.3285230234589327</v>
      </c>
      <c r="P201" s="166"/>
      <c r="Q201" s="1145">
        <f t="shared" si="21"/>
        <v>0.40982323011837629</v>
      </c>
      <c r="R201" s="318"/>
      <c r="S201" s="318"/>
      <c r="T201" s="318"/>
      <c r="U201" s="318"/>
      <c r="V201" s="318"/>
      <c r="W201" s="318"/>
      <c r="X201" s="318"/>
      <c r="Y201" s="318"/>
      <c r="Z201" s="318"/>
      <c r="AA201" s="318"/>
    </row>
    <row r="202" spans="2:27">
      <c r="B202" s="1139">
        <f>B99</f>
        <v>200</v>
      </c>
      <c r="C202" s="1146">
        <f>C99</f>
        <v>50</v>
      </c>
      <c r="D202" s="1147">
        <f>D201*D92</f>
        <v>385.17262853470288</v>
      </c>
      <c r="E202" s="224" t="s">
        <v>2506</v>
      </c>
      <c r="F202" s="1149">
        <f t="shared" si="14"/>
        <v>6.7034525706940578</v>
      </c>
      <c r="G202" s="224" t="s">
        <v>2506</v>
      </c>
      <c r="H202" s="1141">
        <f t="shared" si="15"/>
        <v>0.14917685915639478</v>
      </c>
      <c r="I202" s="879">
        <f t="shared" si="16"/>
        <v>57.458842957819741</v>
      </c>
      <c r="J202" s="1142" t="s">
        <v>2507</v>
      </c>
      <c r="K202" s="225" t="s">
        <v>2497</v>
      </c>
      <c r="L202" s="1149">
        <f t="shared" si="17"/>
        <v>6.7034525706940578</v>
      </c>
      <c r="M202" s="879">
        <f t="shared" si="18"/>
        <v>29.835371831278959</v>
      </c>
      <c r="N202" s="1148">
        <f t="shared" si="19"/>
        <v>0.75722728753227586</v>
      </c>
      <c r="O202" s="1144">
        <f t="shared" si="20"/>
        <v>1.3206074536205568</v>
      </c>
      <c r="P202" s="166"/>
      <c r="Q202" s="1145">
        <f t="shared" si="21"/>
        <v>0.40120169377950488</v>
      </c>
      <c r="R202" s="318"/>
      <c r="S202" s="318"/>
      <c r="T202" s="318"/>
      <c r="U202" s="318"/>
      <c r="V202" s="318"/>
      <c r="W202" s="318"/>
      <c r="X202" s="318"/>
      <c r="Y202" s="318"/>
      <c r="Z202" s="318"/>
      <c r="AA202" s="318"/>
    </row>
    <row r="203" spans="2:27">
      <c r="B203" s="1139">
        <f>B99</f>
        <v>200</v>
      </c>
      <c r="C203" s="1146">
        <f>C99</f>
        <v>50</v>
      </c>
      <c r="D203" s="1147">
        <f>D202*D92</f>
        <v>392.87608110539696</v>
      </c>
      <c r="E203" s="224" t="s">
        <v>2506</v>
      </c>
      <c r="F203" s="1149">
        <f t="shared" si="14"/>
        <v>6.8575216221079396</v>
      </c>
      <c r="G203" s="224" t="s">
        <v>2506</v>
      </c>
      <c r="H203" s="1141">
        <f t="shared" si="15"/>
        <v>0.14582527844696888</v>
      </c>
      <c r="I203" s="879">
        <f t="shared" si="16"/>
        <v>57.291263922348442</v>
      </c>
      <c r="J203" s="1142" t="s">
        <v>2507</v>
      </c>
      <c r="K203" s="225" t="s">
        <v>2497</v>
      </c>
      <c r="L203" s="1149">
        <f t="shared" si="17"/>
        <v>6.8575216221079396</v>
      </c>
      <c r="M203" s="879">
        <f t="shared" si="18"/>
        <v>29.165055689393778</v>
      </c>
      <c r="N203" s="1148">
        <f t="shared" si="19"/>
        <v>0.76166360108653441</v>
      </c>
      <c r="O203" s="1144">
        <f t="shared" si="20"/>
        <v>1.3129155687280738</v>
      </c>
      <c r="P203" s="166"/>
      <c r="Q203" s="1145">
        <f t="shared" si="21"/>
        <v>0.3927741420542068</v>
      </c>
      <c r="R203" s="318"/>
      <c r="S203" s="318"/>
      <c r="T203" s="318"/>
      <c r="U203" s="318"/>
      <c r="V203" s="318"/>
      <c r="W203" s="318"/>
      <c r="X203" s="318"/>
      <c r="Y203" s="318"/>
      <c r="Z203" s="318"/>
      <c r="AA203" s="318"/>
    </row>
    <row r="204" spans="2:27">
      <c r="B204" s="1139">
        <f>B99</f>
        <v>200</v>
      </c>
      <c r="C204" s="1146">
        <f>C99</f>
        <v>50</v>
      </c>
      <c r="D204" s="1147">
        <f>D203*D92</f>
        <v>400.73360272750489</v>
      </c>
      <c r="E204" s="224" t="s">
        <v>2506</v>
      </c>
      <c r="F204" s="1149">
        <f t="shared" si="14"/>
        <v>7.0146720545500969</v>
      </c>
      <c r="G204" s="224" t="s">
        <v>2506</v>
      </c>
      <c r="H204" s="1141">
        <f t="shared" si="15"/>
        <v>0.14255833946668195</v>
      </c>
      <c r="I204" s="879">
        <f t="shared" si="16"/>
        <v>57.127916973334095</v>
      </c>
      <c r="J204" s="1142" t="s">
        <v>2507</v>
      </c>
      <c r="K204" s="225" t="s">
        <v>2497</v>
      </c>
      <c r="L204" s="1149">
        <f t="shared" si="17"/>
        <v>7.0146720545500978</v>
      </c>
      <c r="M204" s="879">
        <f t="shared" si="18"/>
        <v>28.511667893336384</v>
      </c>
      <c r="N204" s="1148">
        <f t="shared" si="19"/>
        <v>0.7660255069189259</v>
      </c>
      <c r="O204" s="1144">
        <f t="shared" si="20"/>
        <v>1.3054395590848613</v>
      </c>
      <c r="P204" s="166"/>
      <c r="Q204" s="1145">
        <f t="shared" si="21"/>
        <v>0.38453566345151763</v>
      </c>
      <c r="R204" s="318"/>
      <c r="S204" s="318"/>
      <c r="T204" s="318"/>
      <c r="U204" s="318"/>
      <c r="V204" s="318"/>
      <c r="W204" s="318"/>
      <c r="X204" s="318"/>
      <c r="Y204" s="318"/>
      <c r="Z204" s="318"/>
      <c r="AA204" s="318"/>
    </row>
    <row r="205" spans="2:27">
      <c r="B205" s="1139">
        <f>B99</f>
        <v>200</v>
      </c>
      <c r="C205" s="1146">
        <f>C99</f>
        <v>50</v>
      </c>
      <c r="D205" s="1147">
        <f>D204*D92</f>
        <v>408.74827478205498</v>
      </c>
      <c r="E205" s="224" t="s">
        <v>2506</v>
      </c>
      <c r="F205" s="1149">
        <f t="shared" si="14"/>
        <v>7.1749654956411</v>
      </c>
      <c r="G205" s="224" t="s">
        <v>2506</v>
      </c>
      <c r="H205" s="1141">
        <f t="shared" si="15"/>
        <v>0.1393734925425795</v>
      </c>
      <c r="I205" s="879">
        <f t="shared" si="16"/>
        <v>56.968674627128976</v>
      </c>
      <c r="J205" s="1142" t="s">
        <v>2507</v>
      </c>
      <c r="K205" s="225" t="s">
        <v>2497</v>
      </c>
      <c r="L205" s="1149">
        <f t="shared" si="17"/>
        <v>7.1749654956410991</v>
      </c>
      <c r="M205" s="879">
        <f t="shared" si="18"/>
        <v>27.874698508515898</v>
      </c>
      <c r="N205" s="1148">
        <f t="shared" si="19"/>
        <v>0.77031397555353909</v>
      </c>
      <c r="O205" s="1144">
        <f t="shared" si="20"/>
        <v>1.2981719555086757</v>
      </c>
      <c r="P205" s="166"/>
      <c r="Q205" s="1145">
        <f t="shared" si="21"/>
        <v>0.37648149499239186</v>
      </c>
      <c r="R205" s="318"/>
      <c r="S205" s="318"/>
      <c r="T205" s="318"/>
      <c r="U205" s="318"/>
      <c r="V205" s="318"/>
      <c r="W205" s="318"/>
      <c r="X205" s="318"/>
      <c r="Y205" s="318"/>
      <c r="Z205" s="318"/>
      <c r="AA205" s="318"/>
    </row>
    <row r="206" spans="2:27">
      <c r="B206" s="1139">
        <f>B99</f>
        <v>200</v>
      </c>
      <c r="C206" s="1146">
        <f>C99</f>
        <v>50</v>
      </c>
      <c r="D206" s="1147">
        <f>D205*D92</f>
        <v>416.9232402776961</v>
      </c>
      <c r="E206" s="224" t="s">
        <v>2506</v>
      </c>
      <c r="F206" s="1149">
        <f t="shared" si="14"/>
        <v>7.3384648055539223</v>
      </c>
      <c r="G206" s="224" t="s">
        <v>2506</v>
      </c>
      <c r="H206" s="1141">
        <f t="shared" si="15"/>
        <v>0.13626828314870115</v>
      </c>
      <c r="I206" s="879">
        <f t="shared" si="16"/>
        <v>56.813414157435055</v>
      </c>
      <c r="J206" s="1142" t="s">
        <v>2507</v>
      </c>
      <c r="K206" s="225" t="s">
        <v>2497</v>
      </c>
      <c r="L206" s="1149">
        <f t="shared" si="17"/>
        <v>7.3384648055539223</v>
      </c>
      <c r="M206" s="879">
        <f t="shared" si="18"/>
        <v>27.253656629740231</v>
      </c>
      <c r="N206" s="1148">
        <f t="shared" si="19"/>
        <v>0.77452997745172136</v>
      </c>
      <c r="O206" s="1144">
        <f t="shared" si="20"/>
        <v>1.291105611289697</v>
      </c>
      <c r="P206" s="166"/>
      <c r="Q206" s="1145">
        <f t="shared" si="21"/>
        <v>0.36860701664206869</v>
      </c>
      <c r="R206" s="318"/>
      <c r="S206" s="318"/>
      <c r="T206" s="318"/>
      <c r="U206" s="318"/>
      <c r="V206" s="318"/>
      <c r="W206" s="318"/>
      <c r="X206" s="318"/>
      <c r="Y206" s="318"/>
      <c r="Z206" s="318"/>
      <c r="AA206" s="318"/>
    </row>
    <row r="207" spans="2:27">
      <c r="B207" s="1139">
        <f>B99</f>
        <v>200</v>
      </c>
      <c r="C207" s="1146">
        <f>C99</f>
        <v>50</v>
      </c>
      <c r="D207" s="1147">
        <f>D206*D92</f>
        <v>425.26170508325004</v>
      </c>
      <c r="E207" s="224" t="s">
        <v>2506</v>
      </c>
      <c r="F207" s="1149">
        <f t="shared" si="14"/>
        <v>7.5052341016650015</v>
      </c>
      <c r="G207" s="224" t="s">
        <v>2506</v>
      </c>
      <c r="H207" s="1141">
        <f t="shared" si="15"/>
        <v>0.1332403475300197</v>
      </c>
      <c r="I207" s="879">
        <f t="shared" si="16"/>
        <v>56.662017376500984</v>
      </c>
      <c r="J207" s="1142" t="s">
        <v>2507</v>
      </c>
      <c r="K207" s="225" t="s">
        <v>2497</v>
      </c>
      <c r="L207" s="1149">
        <f t="shared" si="17"/>
        <v>7.5052341016650006</v>
      </c>
      <c r="M207" s="879">
        <f t="shared" si="18"/>
        <v>26.648069506003939</v>
      </c>
      <c r="N207" s="1148">
        <f t="shared" si="19"/>
        <v>0.77867448227678993</v>
      </c>
      <c r="O207" s="1144">
        <f t="shared" si="20"/>
        <v>1.2842336852699598</v>
      </c>
      <c r="P207" s="166"/>
      <c r="Q207" s="1145">
        <f t="shared" si="21"/>
        <v>0.36090774599974207</v>
      </c>
      <c r="R207" s="318"/>
      <c r="S207" s="318"/>
      <c r="T207" s="318"/>
      <c r="U207" s="318"/>
      <c r="V207" s="318"/>
      <c r="W207" s="318"/>
      <c r="X207" s="318"/>
      <c r="Y207" s="318"/>
      <c r="Z207" s="318"/>
      <c r="AA207" s="318"/>
    </row>
    <row r="208" spans="2:27">
      <c r="B208" s="1139">
        <f>B99</f>
        <v>200</v>
      </c>
      <c r="C208" s="1146">
        <f>C99</f>
        <v>50</v>
      </c>
      <c r="D208" s="1147">
        <f>D207*D92</f>
        <v>433.76693918491503</v>
      </c>
      <c r="E208" s="224" t="s">
        <v>2506</v>
      </c>
      <c r="F208" s="1149">
        <f t="shared" si="14"/>
        <v>7.6753387836983009</v>
      </c>
      <c r="G208" s="224" t="s">
        <v>2506</v>
      </c>
      <c r="H208" s="1141">
        <f t="shared" si="15"/>
        <v>0.1302874085667601</v>
      </c>
      <c r="I208" s="879">
        <f t="shared" si="16"/>
        <v>56.514370428338005</v>
      </c>
      <c r="J208" s="1142" t="s">
        <v>2507</v>
      </c>
      <c r="K208" s="225" t="s">
        <v>2497</v>
      </c>
      <c r="L208" s="1149">
        <f t="shared" si="17"/>
        <v>7.6753387836983009</v>
      </c>
      <c r="M208" s="879">
        <f t="shared" si="18"/>
        <v>26.057481713352022</v>
      </c>
      <c r="N208" s="1148">
        <f t="shared" si="19"/>
        <v>0.7827484582017632</v>
      </c>
      <c r="O208" s="1144">
        <f t="shared" si="20"/>
        <v>1.2775496259645618</v>
      </c>
      <c r="P208" s="166"/>
      <c r="Q208" s="1145">
        <f t="shared" si="21"/>
        <v>0.35337933323131993</v>
      </c>
      <c r="R208" s="318"/>
      <c r="S208" s="318"/>
      <c r="T208" s="318"/>
      <c r="U208" s="318"/>
      <c r="V208" s="318"/>
      <c r="W208" s="318"/>
      <c r="X208" s="318"/>
      <c r="Y208" s="318"/>
      <c r="Z208" s="318"/>
      <c r="AA208" s="318"/>
    </row>
    <row r="209" spans="2:27">
      <c r="B209" s="1139">
        <f>B99</f>
        <v>200</v>
      </c>
      <c r="C209" s="1146">
        <f>C99</f>
        <v>50</v>
      </c>
      <c r="D209" s="1147">
        <f>D208*D92</f>
        <v>442.44227796861333</v>
      </c>
      <c r="E209" s="224" t="s">
        <v>2506</v>
      </c>
      <c r="F209" s="1149">
        <f t="shared" si="14"/>
        <v>7.8488455593722666</v>
      </c>
      <c r="G209" s="224" t="s">
        <v>2506</v>
      </c>
      <c r="H209" s="1141">
        <f t="shared" si="15"/>
        <v>0.12740727186380996</v>
      </c>
      <c r="I209" s="879">
        <f t="shared" si="16"/>
        <v>56.370363593190497</v>
      </c>
      <c r="J209" s="1142" t="s">
        <v>2507</v>
      </c>
      <c r="K209" s="225" t="s">
        <v>2497</v>
      </c>
      <c r="L209" s="1149">
        <f t="shared" si="17"/>
        <v>7.8488455593722666</v>
      </c>
      <c r="M209" s="879">
        <f t="shared" si="18"/>
        <v>25.481454372761991</v>
      </c>
      <c r="N209" s="1148">
        <f t="shared" si="19"/>
        <v>0.78675287125815352</v>
      </c>
      <c r="O209" s="1144">
        <f t="shared" si="20"/>
        <v>1.2710471566513988</v>
      </c>
      <c r="P209" s="166"/>
      <c r="Q209" s="1145">
        <f t="shared" si="21"/>
        <v>0.34601755623199454</v>
      </c>
      <c r="R209" s="318"/>
      <c r="S209" s="318"/>
      <c r="T209" s="318"/>
      <c r="U209" s="318"/>
      <c r="V209" s="318"/>
      <c r="W209" s="318"/>
      <c r="X209" s="318"/>
      <c r="Y209" s="318"/>
      <c r="Z209" s="318"/>
      <c r="AA209" s="318"/>
    </row>
    <row r="210" spans="2:27">
      <c r="B210" s="1139">
        <f>B99</f>
        <v>200</v>
      </c>
      <c r="C210" s="1146">
        <f>C99</f>
        <v>50</v>
      </c>
      <c r="D210" s="1147">
        <f>D209*D92</f>
        <v>451.29112352798558</v>
      </c>
      <c r="E210" s="224" t="s">
        <v>2506</v>
      </c>
      <c r="F210" s="1149">
        <f t="shared" si="14"/>
        <v>8.0258224705597119</v>
      </c>
      <c r="G210" s="224" t="s">
        <v>2506</v>
      </c>
      <c r="H210" s="1141">
        <f t="shared" si="15"/>
        <v>0.12459782205103537</v>
      </c>
      <c r="I210" s="879">
        <f t="shared" si="16"/>
        <v>56.229891102551768</v>
      </c>
      <c r="J210" s="1142" t="s">
        <v>2507</v>
      </c>
      <c r="K210" s="225" t="s">
        <v>2497</v>
      </c>
      <c r="L210" s="1149">
        <f t="shared" si="17"/>
        <v>8.0258224705597119</v>
      </c>
      <c r="M210" s="879">
        <f t="shared" si="18"/>
        <v>24.919564410207073</v>
      </c>
      <c r="N210" s="1148">
        <f t="shared" si="19"/>
        <v>0.79068868472395282</v>
      </c>
      <c r="O210" s="1144">
        <f t="shared" si="20"/>
        <v>1.2647202613619322</v>
      </c>
      <c r="P210" s="166"/>
      <c r="Q210" s="1145">
        <f t="shared" si="21"/>
        <v>0.3388183160061608</v>
      </c>
      <c r="R210" s="318"/>
      <c r="S210" s="318"/>
      <c r="T210" s="318"/>
      <c r="U210" s="318"/>
      <c r="V210" s="318"/>
      <c r="W210" s="318"/>
      <c r="X210" s="318"/>
      <c r="Y210" s="318"/>
      <c r="Z210" s="318"/>
      <c r="AA210" s="318"/>
    </row>
    <row r="211" spans="2:27">
      <c r="B211" s="1139">
        <f>B99</f>
        <v>200</v>
      </c>
      <c r="C211" s="1146">
        <f>C99</f>
        <v>50</v>
      </c>
      <c r="D211" s="1147">
        <f>D210*D92</f>
        <v>460.31694599854529</v>
      </c>
      <c r="E211" s="224" t="s">
        <v>2506</v>
      </c>
      <c r="F211" s="1149">
        <f t="shared" si="14"/>
        <v>8.2063389199709054</v>
      </c>
      <c r="G211" s="224" t="s">
        <v>2506</v>
      </c>
      <c r="H211" s="1141">
        <f t="shared" si="15"/>
        <v>0.12185701928132714</v>
      </c>
      <c r="I211" s="879">
        <f t="shared" si="16"/>
        <v>56.092850964066358</v>
      </c>
      <c r="J211" s="1142" t="s">
        <v>2507</v>
      </c>
      <c r="K211" s="225" t="s">
        <v>2497</v>
      </c>
      <c r="L211" s="1149">
        <f t="shared" si="17"/>
        <v>8.2063389199709054</v>
      </c>
      <c r="M211" s="879">
        <f t="shared" si="18"/>
        <v>24.371403856265427</v>
      </c>
      <c r="N211" s="1148">
        <f t="shared" si="19"/>
        <v>0.79455685854901104</v>
      </c>
      <c r="O211" s="1144">
        <f t="shared" si="20"/>
        <v>1.2585631717107839</v>
      </c>
      <c r="P211" s="166"/>
      <c r="Q211" s="1145">
        <f t="shared" si="21"/>
        <v>0.3317776322530267</v>
      </c>
      <c r="R211" s="318"/>
      <c r="S211" s="318"/>
      <c r="T211" s="318"/>
      <c r="U211" s="318"/>
      <c r="V211" s="318"/>
      <c r="W211" s="318"/>
      <c r="X211" s="318"/>
      <c r="Y211" s="318"/>
      <c r="Z211" s="318"/>
      <c r="AA211" s="318"/>
    </row>
    <row r="212" spans="2:27">
      <c r="B212" s="1139">
        <f>B99</f>
        <v>200</v>
      </c>
      <c r="C212" s="1146">
        <f>C99</f>
        <v>50</v>
      </c>
      <c r="D212" s="1147">
        <f>D211*D92</f>
        <v>469.5232849185162</v>
      </c>
      <c r="E212" s="224" t="s">
        <v>2506</v>
      </c>
      <c r="F212" s="1149">
        <f t="shared" si="14"/>
        <v>8.3904656983703241</v>
      </c>
      <c r="G212" s="224" t="s">
        <v>2506</v>
      </c>
      <c r="H212" s="1141">
        <f t="shared" si="15"/>
        <v>0.11918289591413615</v>
      </c>
      <c r="I212" s="879">
        <f t="shared" si="16"/>
        <v>55.959144795706806</v>
      </c>
      <c r="J212" s="1142" t="s">
        <v>2507</v>
      </c>
      <c r="K212" s="225" t="s">
        <v>2497</v>
      </c>
      <c r="L212" s="1149">
        <f t="shared" si="17"/>
        <v>8.3904656983703241</v>
      </c>
      <c r="M212" s="879">
        <f t="shared" si="18"/>
        <v>23.836579182827229</v>
      </c>
      <c r="N212" s="1148">
        <f t="shared" si="19"/>
        <v>0.79835834881609402</v>
      </c>
      <c r="O212" s="1144">
        <f t="shared" si="20"/>
        <v>1.2525703545067519</v>
      </c>
      <c r="P212" s="166"/>
      <c r="Q212" s="1145">
        <f t="shared" si="21"/>
        <v>0.32489163914695679</v>
      </c>
      <c r="R212" s="318"/>
      <c r="S212" s="318"/>
      <c r="T212" s="318"/>
      <c r="U212" s="318"/>
      <c r="V212" s="318"/>
      <c r="W212" s="318"/>
      <c r="X212" s="318"/>
      <c r="Y212" s="318"/>
      <c r="Z212" s="318"/>
      <c r="AA212" s="318"/>
    </row>
    <row r="213" spans="2:27">
      <c r="B213" s="1139">
        <f>B99</f>
        <v>200</v>
      </c>
      <c r="C213" s="1146">
        <f>C99</f>
        <v>50</v>
      </c>
      <c r="D213" s="1147">
        <f>D212*D92</f>
        <v>478.91375061688655</v>
      </c>
      <c r="E213" s="224" t="s">
        <v>2506</v>
      </c>
      <c r="F213" s="1149">
        <f t="shared" si="14"/>
        <v>8.5782750123377305</v>
      </c>
      <c r="G213" s="224" t="s">
        <v>2506</v>
      </c>
      <c r="H213" s="1141">
        <f t="shared" si="15"/>
        <v>0.1165735533731137</v>
      </c>
      <c r="I213" s="879">
        <f t="shared" si="16"/>
        <v>55.828677668655686</v>
      </c>
      <c r="J213" s="1142" t="s">
        <v>2507</v>
      </c>
      <c r="K213" s="225" t="s">
        <v>2497</v>
      </c>
      <c r="L213" s="1149">
        <f t="shared" si="17"/>
        <v>8.5782750123377305</v>
      </c>
      <c r="M213" s="879">
        <f t="shared" si="18"/>
        <v>23.314710674622738</v>
      </c>
      <c r="N213" s="1148">
        <f t="shared" si="19"/>
        <v>0.80209410723596952</v>
      </c>
      <c r="O213" s="1144">
        <f t="shared" si="20"/>
        <v>1.2467365000922619</v>
      </c>
      <c r="P213" s="166"/>
      <c r="Q213" s="1145">
        <f t="shared" si="21"/>
        <v>0.31815658130229152</v>
      </c>
      <c r="R213" s="318"/>
      <c r="S213" s="318"/>
      <c r="T213" s="318"/>
      <c r="U213" s="318"/>
      <c r="V213" s="318"/>
      <c r="W213" s="318"/>
      <c r="X213" s="318"/>
      <c r="Y213" s="318"/>
      <c r="Z213" s="318"/>
      <c r="AA213" s="318"/>
    </row>
    <row r="214" spans="2:27">
      <c r="B214" s="1139">
        <f>B99</f>
        <v>200</v>
      </c>
      <c r="C214" s="1146">
        <f>C99</f>
        <v>50</v>
      </c>
      <c r="D214" s="1147">
        <f>D213*D92</f>
        <v>488.49202562922426</v>
      </c>
      <c r="E214" s="224" t="s">
        <v>2506</v>
      </c>
      <c r="F214" s="1149">
        <f t="shared" si="14"/>
        <v>8.7698405125844854</v>
      </c>
      <c r="G214" s="224" t="s">
        <v>2506</v>
      </c>
      <c r="H214" s="1141">
        <f t="shared" si="15"/>
        <v>0.114027159167265</v>
      </c>
      <c r="I214" s="879">
        <f t="shared" si="16"/>
        <v>55.701357958363246</v>
      </c>
      <c r="J214" s="1142" t="s">
        <v>2507</v>
      </c>
      <c r="K214" s="225" t="s">
        <v>2497</v>
      </c>
      <c r="L214" s="1149">
        <f t="shared" si="17"/>
        <v>8.7698405125844854</v>
      </c>
      <c r="M214" s="879">
        <f t="shared" si="18"/>
        <v>22.805431833452996</v>
      </c>
      <c r="N214" s="1148">
        <f t="shared" si="19"/>
        <v>0.8057650806749459</v>
      </c>
      <c r="O214" s="1144">
        <f t="shared" si="20"/>
        <v>1.2410565113622869</v>
      </c>
      <c r="P214" s="166"/>
      <c r="Q214" s="1145">
        <f t="shared" si="21"/>
        <v>0.31156880991298996</v>
      </c>
      <c r="R214" s="318"/>
      <c r="S214" s="318"/>
      <c r="T214" s="318"/>
      <c r="U214" s="318"/>
      <c r="V214" s="318"/>
      <c r="W214" s="318"/>
      <c r="X214" s="318"/>
      <c r="Y214" s="318"/>
      <c r="Z214" s="318"/>
      <c r="AA214" s="318"/>
    </row>
    <row r="215" spans="2:27">
      <c r="B215" s="1139">
        <f>B99</f>
        <v>200</v>
      </c>
      <c r="C215" s="1146">
        <f>C99</f>
        <v>50</v>
      </c>
      <c r="D215" s="1147">
        <f>D214*D92</f>
        <v>498.26186614180875</v>
      </c>
      <c r="E215" s="224" t="s">
        <v>2506</v>
      </c>
      <c r="F215" s="1149">
        <f t="shared" si="14"/>
        <v>8.9652373228361757</v>
      </c>
      <c r="G215" s="224" t="s">
        <v>2506</v>
      </c>
      <c r="H215" s="1141">
        <f t="shared" si="15"/>
        <v>0.11154194406575368</v>
      </c>
      <c r="I215" s="879">
        <f t="shared" si="16"/>
        <v>55.577097203287686</v>
      </c>
      <c r="J215" s="1142" t="s">
        <v>2507</v>
      </c>
      <c r="K215" s="225" t="s">
        <v>2497</v>
      </c>
      <c r="L215" s="1149">
        <f t="shared" si="17"/>
        <v>8.9652373228361757</v>
      </c>
      <c r="M215" s="879">
        <f t="shared" si="18"/>
        <v>22.308388813150739</v>
      </c>
      <c r="N215" s="1148">
        <f t="shared" si="19"/>
        <v>0.80937221071334642</v>
      </c>
      <c r="O215" s="1144">
        <f t="shared" si="20"/>
        <v>1.2355254934174751</v>
      </c>
      <c r="P215" s="166"/>
      <c r="Q215" s="1145">
        <f t="shared" si="21"/>
        <v>0.30512477905805224</v>
      </c>
      <c r="R215" s="318"/>
      <c r="S215" s="318"/>
      <c r="T215" s="318"/>
      <c r="U215" s="318"/>
      <c r="V215" s="318"/>
      <c r="W215" s="318"/>
      <c r="X215" s="318"/>
      <c r="Y215" s="318"/>
      <c r="Z215" s="318"/>
      <c r="AA215" s="318"/>
    </row>
    <row r="216" spans="2:27">
      <c r="B216" s="1139">
        <f>B99</f>
        <v>200</v>
      </c>
      <c r="C216" s="1146">
        <f>C99</f>
        <v>50</v>
      </c>
      <c r="D216" s="1147">
        <f>D215*D92</f>
        <v>508.22710346464493</v>
      </c>
      <c r="E216" s="224" t="s">
        <v>2506</v>
      </c>
      <c r="F216" s="1149">
        <f t="shared" si="14"/>
        <v>9.1645420692928994</v>
      </c>
      <c r="G216" s="224" t="s">
        <v>2506</v>
      </c>
      <c r="H216" s="1141">
        <f t="shared" si="15"/>
        <v>0.10911619941716914</v>
      </c>
      <c r="I216" s="879">
        <f t="shared" si="16"/>
        <v>55.455809970858454</v>
      </c>
      <c r="J216" s="1142" t="s">
        <v>2507</v>
      </c>
      <c r="K216" s="225" t="s">
        <v>2497</v>
      </c>
      <c r="L216" s="1149">
        <f t="shared" si="17"/>
        <v>9.1645420692928994</v>
      </c>
      <c r="M216" s="879">
        <f t="shared" si="18"/>
        <v>21.823239883433828</v>
      </c>
      <c r="N216" s="1148">
        <f t="shared" si="19"/>
        <v>0.81291643323347851</v>
      </c>
      <c r="O216" s="1144">
        <f t="shared" si="20"/>
        <v>1.2301387438095854</v>
      </c>
      <c r="P216" s="166"/>
      <c r="Q216" s="1145">
        <f t="shared" si="21"/>
        <v>0.29882104216419081</v>
      </c>
      <c r="R216" s="318"/>
      <c r="S216" s="318"/>
      <c r="T216" s="318"/>
      <c r="U216" s="318"/>
      <c r="V216" s="318"/>
      <c r="W216" s="318"/>
      <c r="X216" s="318"/>
      <c r="Y216" s="318"/>
      <c r="Z216" s="318"/>
      <c r="AA216" s="318"/>
    </row>
    <row r="217" spans="2:27">
      <c r="B217" s="1139">
        <f>B99</f>
        <v>200</v>
      </c>
      <c r="C217" s="1146">
        <f>C99</f>
        <v>50</v>
      </c>
      <c r="D217" s="1147">
        <f>D216*D92</f>
        <v>518.39164553393789</v>
      </c>
      <c r="E217" s="224" t="s">
        <v>2506</v>
      </c>
      <c r="F217" s="1149">
        <f t="shared" si="14"/>
        <v>9.3678329106787572</v>
      </c>
      <c r="G217" s="224" t="s">
        <v>2506</v>
      </c>
      <c r="H217" s="1141">
        <f t="shared" si="15"/>
        <v>0.10674827460469125</v>
      </c>
      <c r="I217" s="879">
        <f t="shared" si="16"/>
        <v>55.337413730234559</v>
      </c>
      <c r="J217" s="1142" t="s">
        <v>2507</v>
      </c>
      <c r="K217" s="225" t="s">
        <v>2497</v>
      </c>
      <c r="L217" s="1149">
        <f t="shared" si="17"/>
        <v>9.367832910678759</v>
      </c>
      <c r="M217" s="879">
        <f t="shared" si="18"/>
        <v>21.349654920938246</v>
      </c>
      <c r="N217" s="1148">
        <f t="shared" si="19"/>
        <v>0.81639867803570298</v>
      </c>
      <c r="O217" s="1144">
        <f t="shared" si="20"/>
        <v>1.2248917433404611</v>
      </c>
      <c r="P217" s="166"/>
      <c r="Q217" s="1145">
        <f t="shared" si="21"/>
        <v>0.29265424861775879</v>
      </c>
      <c r="R217" s="318"/>
      <c r="S217" s="318"/>
      <c r="T217" s="318"/>
      <c r="U217" s="318"/>
      <c r="V217" s="318"/>
      <c r="W217" s="318"/>
      <c r="X217" s="318"/>
      <c r="Y217" s="318"/>
      <c r="Z217" s="318"/>
      <c r="AA217" s="318"/>
    </row>
    <row r="218" spans="2:27">
      <c r="B218" s="1139">
        <f>B99</f>
        <v>200</v>
      </c>
      <c r="C218" s="1146">
        <f>C99</f>
        <v>50</v>
      </c>
      <c r="D218" s="1147">
        <f>D217*D92</f>
        <v>528.75947844461666</v>
      </c>
      <c r="E218" s="224" t="s">
        <v>2506</v>
      </c>
      <c r="F218" s="1149">
        <f t="shared" si="14"/>
        <v>9.5751895688923341</v>
      </c>
      <c r="G218" s="224" t="s">
        <v>2506</v>
      </c>
      <c r="H218" s="1141">
        <f t="shared" si="15"/>
        <v>0.10443657462916223</v>
      </c>
      <c r="I218" s="879">
        <f t="shared" si="16"/>
        <v>55.22182873145811</v>
      </c>
      <c r="J218" s="1142" t="s">
        <v>2507</v>
      </c>
      <c r="K218" s="225" t="s">
        <v>2497</v>
      </c>
      <c r="L218" s="1149">
        <f t="shared" si="17"/>
        <v>9.5751895688923341</v>
      </c>
      <c r="M218" s="879">
        <f t="shared" si="18"/>
        <v>20.887314925832449</v>
      </c>
      <c r="N218" s="1148">
        <f t="shared" si="19"/>
        <v>0.81981986848128185</v>
      </c>
      <c r="O218" s="1144">
        <f t="shared" si="20"/>
        <v>1.219780147378597</v>
      </c>
      <c r="P218" s="166"/>
      <c r="Q218" s="1145">
        <f t="shared" si="21"/>
        <v>0.28662114051838861</v>
      </c>
      <c r="R218" s="318"/>
      <c r="S218" s="318"/>
      <c r="T218" s="318"/>
      <c r="U218" s="318"/>
      <c r="V218" s="318"/>
      <c r="W218" s="318"/>
      <c r="X218" s="318"/>
      <c r="Y218" s="318"/>
      <c r="Z218" s="318"/>
      <c r="AA218" s="318"/>
    </row>
    <row r="219" spans="2:27">
      <c r="B219" s="1139">
        <f>B99</f>
        <v>200</v>
      </c>
      <c r="C219" s="1146">
        <f>C99</f>
        <v>50</v>
      </c>
      <c r="D219" s="1147">
        <f>D218*D92</f>
        <v>539.33466801350903</v>
      </c>
      <c r="E219" s="224" t="s">
        <v>2506</v>
      </c>
      <c r="F219" s="1149">
        <f t="shared" si="14"/>
        <v>9.7866933602701813</v>
      </c>
      <c r="G219" s="224" t="s">
        <v>2506</v>
      </c>
      <c r="H219" s="1141">
        <f t="shared" si="15"/>
        <v>0.10217955781260862</v>
      </c>
      <c r="I219" s="879">
        <f t="shared" si="16"/>
        <v>55.108977890630428</v>
      </c>
      <c r="J219" s="1142" t="s">
        <v>2507</v>
      </c>
      <c r="K219" s="225" t="s">
        <v>2497</v>
      </c>
      <c r="L219" s="1149">
        <f t="shared" si="17"/>
        <v>9.7866933602701813</v>
      </c>
      <c r="M219" s="879">
        <f t="shared" si="18"/>
        <v>20.435911562521728</v>
      </c>
      <c r="N219" s="1148">
        <f t="shared" si="19"/>
        <v>0.82318092116072461</v>
      </c>
      <c r="O219" s="1144">
        <f t="shared" si="20"/>
        <v>1.2147997776599972</v>
      </c>
      <c r="P219" s="166"/>
      <c r="Q219" s="1145">
        <f t="shared" si="21"/>
        <v>0.28071854956726228</v>
      </c>
      <c r="R219" s="318"/>
      <c r="S219" s="318"/>
      <c r="T219" s="318"/>
      <c r="U219" s="318"/>
      <c r="V219" s="318"/>
      <c r="W219" s="318"/>
      <c r="X219" s="318"/>
      <c r="Y219" s="318"/>
      <c r="Z219" s="318"/>
      <c r="AA219" s="318"/>
    </row>
    <row r="220" spans="2:27">
      <c r="B220" s="1139">
        <f>B99</f>
        <v>200</v>
      </c>
      <c r="C220" s="1146">
        <f>C99</f>
        <v>50</v>
      </c>
      <c r="D220" s="1147">
        <f>D219*D92</f>
        <v>550.12136137377922</v>
      </c>
      <c r="E220" s="224" t="s">
        <v>2506</v>
      </c>
      <c r="F220" s="1149">
        <f t="shared" si="14"/>
        <v>10.002427227475584</v>
      </c>
      <c r="G220" s="224" t="s">
        <v>2506</v>
      </c>
      <c r="H220" s="1141">
        <f t="shared" si="15"/>
        <v>9.9975733615247739E-2</v>
      </c>
      <c r="I220" s="879">
        <f t="shared" si="16"/>
        <v>54.998786680762386</v>
      </c>
      <c r="J220" s="1142" t="s">
        <v>2507</v>
      </c>
      <c r="K220" s="225" t="s">
        <v>2497</v>
      </c>
      <c r="L220" s="1149">
        <f t="shared" si="17"/>
        <v>10.002427227475584</v>
      </c>
      <c r="M220" s="879">
        <f t="shared" si="18"/>
        <v>19.995146723049547</v>
      </c>
      <c r="N220" s="1148">
        <f t="shared" si="19"/>
        <v>0.82648274558642099</v>
      </c>
      <c r="O220" s="1144">
        <f t="shared" si="20"/>
        <v>1.2099466145424027</v>
      </c>
      <c r="P220" s="166"/>
      <c r="Q220" s="1145">
        <f t="shared" si="21"/>
        <v>0.27494339408331853</v>
      </c>
      <c r="R220" s="318"/>
      <c r="S220" s="318"/>
      <c r="T220" s="318"/>
      <c r="U220" s="318"/>
      <c r="V220" s="318"/>
      <c r="W220" s="318"/>
      <c r="X220" s="318"/>
      <c r="Y220" s="318"/>
      <c r="Z220" s="318"/>
      <c r="AA220" s="318"/>
    </row>
    <row r="221" spans="2:27">
      <c r="B221" s="1139">
        <f>B99</f>
        <v>200</v>
      </c>
      <c r="C221" s="1146">
        <f>C99</f>
        <v>50</v>
      </c>
      <c r="D221" s="1147">
        <f>D220*D92</f>
        <v>561.12378860125477</v>
      </c>
      <c r="E221" s="224" t="s">
        <v>2506</v>
      </c>
      <c r="F221" s="1149">
        <f t="shared" si="14"/>
        <v>10.222475772025096</v>
      </c>
      <c r="G221" s="224" t="s">
        <v>2506</v>
      </c>
      <c r="H221" s="1141">
        <f t="shared" si="15"/>
        <v>9.7823660559471073E-2</v>
      </c>
      <c r="I221" s="879">
        <f t="shared" si="16"/>
        <v>54.891183027973554</v>
      </c>
      <c r="J221" s="1142" t="s">
        <v>2507</v>
      </c>
      <c r="K221" s="225" t="s">
        <v>2497</v>
      </c>
      <c r="L221" s="1149">
        <f t="shared" si="17"/>
        <v>10.222475772025096</v>
      </c>
      <c r="M221" s="879">
        <f t="shared" si="18"/>
        <v>19.564732111894216</v>
      </c>
      <c r="N221" s="1148">
        <f t="shared" si="19"/>
        <v>0.82972624390839278</v>
      </c>
      <c r="O221" s="1144">
        <f t="shared" si="20"/>
        <v>1.2052167896841968</v>
      </c>
      <c r="P221" s="166"/>
      <c r="Q221" s="1145">
        <f t="shared" si="21"/>
        <v>0.26929267614110475</v>
      </c>
      <c r="R221" s="318"/>
      <c r="S221" s="318"/>
      <c r="T221" s="318"/>
      <c r="U221" s="318"/>
      <c r="V221" s="318"/>
      <c r="W221" s="318"/>
      <c r="X221" s="318"/>
      <c r="Y221" s="318"/>
      <c r="Z221" s="318"/>
      <c r="AA221" s="318"/>
    </row>
    <row r="222" spans="2:27">
      <c r="B222" s="1139">
        <f>B99</f>
        <v>200</v>
      </c>
      <c r="C222" s="1146">
        <f>C99</f>
        <v>50</v>
      </c>
      <c r="D222" s="1147">
        <f>D221*D92</f>
        <v>572.34626437327984</v>
      </c>
      <c r="E222" s="224" t="s">
        <v>2506</v>
      </c>
      <c r="F222" s="1149">
        <f t="shared" si="14"/>
        <v>10.446925287465596</v>
      </c>
      <c r="G222" s="224" t="s">
        <v>2506</v>
      </c>
      <c r="H222" s="1141">
        <f t="shared" si="15"/>
        <v>9.5721944254719374E-2</v>
      </c>
      <c r="I222" s="879">
        <f t="shared" si="16"/>
        <v>54.786097212735967</v>
      </c>
      <c r="J222" s="1142" t="s">
        <v>2507</v>
      </c>
      <c r="K222" s="225" t="s">
        <v>2497</v>
      </c>
      <c r="L222" s="1149">
        <f t="shared" si="17"/>
        <v>10.446925287465596</v>
      </c>
      <c r="M222" s="879">
        <f t="shared" si="18"/>
        <v>19.144388850943873</v>
      </c>
      <c r="N222" s="1148">
        <f t="shared" si="19"/>
        <v>0.83291231065204141</v>
      </c>
      <c r="O222" s="1144">
        <f t="shared" si="20"/>
        <v>1.2006065791213421</v>
      </c>
      <c r="P222" s="166"/>
      <c r="Q222" s="1145">
        <f t="shared" si="21"/>
        <v>0.2637634788243472</v>
      </c>
      <c r="R222" s="318"/>
      <c r="S222" s="318"/>
      <c r="T222" s="318"/>
      <c r="U222" s="318"/>
      <c r="V222" s="318"/>
      <c r="W222" s="318"/>
      <c r="X222" s="318"/>
      <c r="Y222" s="318"/>
      <c r="Z222" s="318"/>
      <c r="AA222" s="318"/>
    </row>
    <row r="223" spans="2:27">
      <c r="B223" s="1139">
        <f>B99</f>
        <v>200</v>
      </c>
      <c r="C223" s="1146">
        <f>C99</f>
        <v>50</v>
      </c>
      <c r="D223" s="1147">
        <f>D222*D92</f>
        <v>583.7931896607455</v>
      </c>
      <c r="E223" s="224" t="s">
        <v>2506</v>
      </c>
      <c r="F223" s="1149">
        <f t="shared" si="14"/>
        <v>10.67586379321491</v>
      </c>
      <c r="G223" s="224" t="s">
        <v>2506</v>
      </c>
      <c r="H223" s="1141">
        <f t="shared" si="15"/>
        <v>9.3669235517556362E-2</v>
      </c>
      <c r="I223" s="879">
        <f t="shared" si="16"/>
        <v>54.683461775877817</v>
      </c>
      <c r="J223" s="1142" t="s">
        <v>2507</v>
      </c>
      <c r="K223" s="225" t="s">
        <v>2497</v>
      </c>
      <c r="L223" s="1149">
        <f t="shared" si="17"/>
        <v>10.67586379321491</v>
      </c>
      <c r="M223" s="879">
        <f t="shared" si="18"/>
        <v>18.73384710351127</v>
      </c>
      <c r="N223" s="1148">
        <f t="shared" si="19"/>
        <v>0.83604183247683106</v>
      </c>
      <c r="O223" s="1144">
        <f t="shared" si="20"/>
        <v>1.1961123967175562</v>
      </c>
      <c r="P223" s="166"/>
      <c r="Q223" s="1145">
        <f t="shared" si="21"/>
        <v>0.25835296358962212</v>
      </c>
      <c r="R223" s="318"/>
      <c r="S223" s="318"/>
      <c r="T223" s="318"/>
      <c r="U223" s="318"/>
      <c r="V223" s="318"/>
      <c r="W223" s="318"/>
      <c r="X223" s="318"/>
      <c r="Y223" s="318"/>
      <c r="Z223" s="318"/>
      <c r="AA223" s="318"/>
    </row>
    <row r="224" spans="2:27">
      <c r="B224" s="1139">
        <f>B99</f>
        <v>200</v>
      </c>
      <c r="C224" s="1146">
        <f>C99</f>
        <v>50</v>
      </c>
      <c r="D224" s="1147">
        <f>D223*D92</f>
        <v>595.46905345396044</v>
      </c>
      <c r="E224" s="224" t="s">
        <v>2506</v>
      </c>
      <c r="F224" s="1149">
        <f t="shared" si="14"/>
        <v>10.90938106907921</v>
      </c>
      <c r="G224" s="224" t="s">
        <v>2506</v>
      </c>
      <c r="H224" s="1141">
        <f t="shared" si="15"/>
        <v>9.1664228581613161E-2</v>
      </c>
      <c r="I224" s="879">
        <f t="shared" si="16"/>
        <v>54.583211429080656</v>
      </c>
      <c r="J224" s="1142" t="s">
        <v>2507</v>
      </c>
      <c r="K224" s="225" t="s">
        <v>2497</v>
      </c>
      <c r="L224" s="1149">
        <f t="shared" si="17"/>
        <v>10.90938106907921</v>
      </c>
      <c r="M224" s="879">
        <f t="shared" si="18"/>
        <v>18.332845716322634</v>
      </c>
      <c r="N224" s="1148">
        <f t="shared" si="19"/>
        <v>0.83911568795487923</v>
      </c>
      <c r="O224" s="1144">
        <f t="shared" si="20"/>
        <v>1.1917307879646886</v>
      </c>
      <c r="P224" s="166"/>
      <c r="Q224" s="1145">
        <f t="shared" si="21"/>
        <v>0.25305836773485196</v>
      </c>
      <c r="R224" s="318"/>
      <c r="S224" s="318"/>
      <c r="T224" s="318"/>
      <c r="U224" s="318"/>
      <c r="V224" s="318"/>
      <c r="W224" s="318"/>
      <c r="X224" s="318"/>
      <c r="Y224" s="318"/>
      <c r="Z224" s="318"/>
      <c r="AA224" s="318"/>
    </row>
    <row r="225" spans="2:27">
      <c r="B225" s="1139">
        <f>B99</f>
        <v>200</v>
      </c>
      <c r="C225" s="1146">
        <f>C99</f>
        <v>50</v>
      </c>
      <c r="D225" s="1147">
        <f>D224*D92</f>
        <v>607.37843452303969</v>
      </c>
      <c r="E225" s="224" t="s">
        <v>2506</v>
      </c>
      <c r="F225" s="1149">
        <f t="shared" si="14"/>
        <v>11.147568690460794</v>
      </c>
      <c r="G225" s="224" t="s">
        <v>2506</v>
      </c>
      <c r="H225" s="1141">
        <f t="shared" si="15"/>
        <v>8.9705659392412693E-2</v>
      </c>
      <c r="I225" s="879">
        <f t="shared" si="16"/>
        <v>54.485282969620634</v>
      </c>
      <c r="J225" s="1142" t="s">
        <v>2507</v>
      </c>
      <c r="K225" s="225" t="s">
        <v>2497</v>
      </c>
      <c r="L225" s="1149">
        <f t="shared" si="17"/>
        <v>11.147568690460794</v>
      </c>
      <c r="M225" s="879">
        <f t="shared" si="18"/>
        <v>17.941131878482537</v>
      </c>
      <c r="N225" s="1148">
        <f t="shared" si="19"/>
        <v>0.84213474736847294</v>
      </c>
      <c r="O225" s="1144">
        <f t="shared" si="20"/>
        <v>1.1874584241118527</v>
      </c>
      <c r="P225" s="166"/>
      <c r="Q225" s="1145">
        <f t="shared" si="21"/>
        <v>0.2478770019676389</v>
      </c>
      <c r="R225" s="318"/>
      <c r="S225" s="318"/>
      <c r="T225" s="318"/>
      <c r="U225" s="318"/>
      <c r="V225" s="318"/>
      <c r="W225" s="318"/>
      <c r="X225" s="318"/>
      <c r="Y225" s="318"/>
      <c r="Z225" s="318"/>
      <c r="AA225" s="318"/>
    </row>
    <row r="226" spans="2:27">
      <c r="B226" s="1139">
        <f>B99</f>
        <v>200</v>
      </c>
      <c r="C226" s="1146">
        <f>C99</f>
        <v>50</v>
      </c>
      <c r="D226" s="1147">
        <f>D225*D92</f>
        <v>619.52600321350053</v>
      </c>
      <c r="E226" s="224" t="s">
        <v>2506</v>
      </c>
      <c r="F226" s="1149">
        <f t="shared" si="14"/>
        <v>11.39052006427001</v>
      </c>
      <c r="G226" s="224" t="s">
        <v>2506</v>
      </c>
      <c r="H226" s="1141">
        <f t="shared" si="15"/>
        <v>8.7792303982398318E-2</v>
      </c>
      <c r="I226" s="879">
        <f t="shared" si="16"/>
        <v>54.389615199119916</v>
      </c>
      <c r="J226" s="1142" t="s">
        <v>2507</v>
      </c>
      <c r="K226" s="225" t="s">
        <v>2497</v>
      </c>
      <c r="L226" s="1149">
        <f t="shared" si="17"/>
        <v>11.39052006427001</v>
      </c>
      <c r="M226" s="879">
        <f t="shared" si="18"/>
        <v>17.558460796479665</v>
      </c>
      <c r="N226" s="1148">
        <f t="shared" si="19"/>
        <v>0.84509987252557661</v>
      </c>
      <c r="O226" s="1144">
        <f t="shared" si="20"/>
        <v>1.1832920966033342</v>
      </c>
      <c r="P226" s="166"/>
      <c r="Q226" s="1145">
        <f t="shared" si="21"/>
        <v>0.24280624806871262</v>
      </c>
      <c r="R226" s="318"/>
      <c r="S226" s="318"/>
      <c r="T226" s="318"/>
      <c r="U226" s="318"/>
      <c r="V226" s="318"/>
      <c r="W226" s="318"/>
      <c r="X226" s="318"/>
      <c r="Y226" s="318"/>
      <c r="Z226" s="318"/>
      <c r="AA226" s="318"/>
    </row>
    <row r="227" spans="2:27">
      <c r="B227" s="1139">
        <f>B99</f>
        <v>200</v>
      </c>
      <c r="C227" s="1146">
        <f>C99</f>
        <v>50</v>
      </c>
      <c r="D227" s="1147">
        <f>D226*D92</f>
        <v>631.91652327777058</v>
      </c>
      <c r="E227" s="224" t="s">
        <v>2506</v>
      </c>
      <c r="F227" s="1149">
        <f t="shared" ref="F227:F268" si="22">D227/C227-1</f>
        <v>11.638330465555411</v>
      </c>
      <c r="G227" s="224" t="s">
        <v>2506</v>
      </c>
      <c r="H227" s="1141">
        <f t="shared" ref="H227:H268" si="23">1/(D227/C227-1)</f>
        <v>8.592297692178287E-2</v>
      </c>
      <c r="I227" s="879">
        <f t="shared" ref="I227:I268" si="24">C227+H227*C227</f>
        <v>54.296148846089146</v>
      </c>
      <c r="J227" s="1142" t="s">
        <v>2507</v>
      </c>
      <c r="K227" s="225" t="s">
        <v>2497</v>
      </c>
      <c r="L227" s="1149">
        <f t="shared" ref="L227:L268" si="25">D227/I227</f>
        <v>11.638330465555411</v>
      </c>
      <c r="M227" s="879">
        <f t="shared" ref="M227:M268" si="26">B227*I227/D227</f>
        <v>17.184595384356573</v>
      </c>
      <c r="N227" s="1148">
        <f t="shared" ref="N227:N268" si="27">1/((I227/C227)^2)</f>
        <v>0.84801191659243524</v>
      </c>
      <c r="O227" s="1144">
        <f t="shared" ref="O227:O268" si="28">(I227/C227)^2</f>
        <v>1.1792287118066669</v>
      </c>
      <c r="P227" s="166"/>
      <c r="Q227" s="1145">
        <f t="shared" ref="Q227:Q268" si="29">LOG(O227)/LOG(2)</f>
        <v>0.23784355664603929</v>
      </c>
      <c r="R227" s="318"/>
      <c r="S227" s="318"/>
      <c r="T227" s="318"/>
      <c r="U227" s="318"/>
      <c r="V227" s="318"/>
      <c r="W227" s="318"/>
      <c r="X227" s="318"/>
      <c r="Y227" s="318"/>
      <c r="Z227" s="318"/>
      <c r="AA227" s="318"/>
    </row>
    <row r="228" spans="2:27">
      <c r="B228" s="1139">
        <f>B99</f>
        <v>200</v>
      </c>
      <c r="C228" s="1146">
        <f>C99</f>
        <v>50</v>
      </c>
      <c r="D228" s="1147">
        <f>D227*D92</f>
        <v>644.55485374332602</v>
      </c>
      <c r="E228" s="224" t="s">
        <v>2506</v>
      </c>
      <c r="F228" s="1149">
        <f t="shared" si="22"/>
        <v>11.89109707486652</v>
      </c>
      <c r="G228" s="224" t="s">
        <v>2506</v>
      </c>
      <c r="H228" s="1141">
        <f t="shared" si="23"/>
        <v>8.4096529841105952E-2</v>
      </c>
      <c r="I228" s="879">
        <f t="shared" si="24"/>
        <v>54.204826492055297</v>
      </c>
      <c r="J228" s="1142" t="s">
        <v>2507</v>
      </c>
      <c r="K228" s="225" t="s">
        <v>2497</v>
      </c>
      <c r="L228" s="1149">
        <f t="shared" si="25"/>
        <v>11.89109707486652</v>
      </c>
      <c r="M228" s="879">
        <f t="shared" si="26"/>
        <v>16.81930596822119</v>
      </c>
      <c r="N228" s="1148">
        <f t="shared" si="27"/>
        <v>0.85087172394241006</v>
      </c>
      <c r="O228" s="1144">
        <f t="shared" si="28"/>
        <v>1.1752652860135278</v>
      </c>
      <c r="P228" s="166"/>
      <c r="Q228" s="1145">
        <f t="shared" si="29"/>
        <v>0.23298644497538054</v>
      </c>
      <c r="R228" s="318"/>
      <c r="S228" s="318"/>
      <c r="T228" s="318"/>
      <c r="U228" s="318"/>
      <c r="V228" s="318"/>
      <c r="W228" s="318"/>
      <c r="X228" s="318"/>
      <c r="Y228" s="318"/>
      <c r="Z228" s="318"/>
      <c r="AA228" s="318"/>
    </row>
    <row r="229" spans="2:27">
      <c r="B229" s="1139">
        <f>B99</f>
        <v>200</v>
      </c>
      <c r="C229" s="1146">
        <f>C99</f>
        <v>50</v>
      </c>
      <c r="D229" s="1147">
        <f>D228*D92</f>
        <v>657.4459508181925</v>
      </c>
      <c r="E229" s="224" t="s">
        <v>2506</v>
      </c>
      <c r="F229" s="1149">
        <f t="shared" si="22"/>
        <v>12.14891901636385</v>
      </c>
      <c r="G229" s="224" t="s">
        <v>2506</v>
      </c>
      <c r="H229" s="1141">
        <f t="shared" si="23"/>
        <v>8.2311850021640709E-2</v>
      </c>
      <c r="I229" s="879">
        <f t="shared" si="24"/>
        <v>54.115592501082034</v>
      </c>
      <c r="J229" s="1142" t="s">
        <v>2507</v>
      </c>
      <c r="K229" s="225" t="s">
        <v>2497</v>
      </c>
      <c r="L229" s="1149">
        <f t="shared" si="25"/>
        <v>12.14891901636385</v>
      </c>
      <c r="M229" s="879">
        <f t="shared" si="26"/>
        <v>16.462370004328143</v>
      </c>
      <c r="N229" s="1148">
        <f t="shared" si="27"/>
        <v>0.85368013002022813</v>
      </c>
      <c r="O229" s="1144">
        <f t="shared" si="28"/>
        <v>1.1713989406972665</v>
      </c>
      <c r="P229" s="166"/>
      <c r="Q229" s="1145">
        <f t="shared" si="29"/>
        <v>0.22823249492331588</v>
      </c>
      <c r="R229" s="318"/>
      <c r="S229" s="318"/>
      <c r="T229" s="318"/>
      <c r="U229" s="318"/>
      <c r="V229" s="318"/>
      <c r="W229" s="318"/>
      <c r="X229" s="318"/>
      <c r="Y229" s="318"/>
      <c r="Z229" s="318"/>
      <c r="AA229" s="318"/>
    </row>
    <row r="230" spans="2:27">
      <c r="B230" s="1139">
        <f>B99</f>
        <v>200</v>
      </c>
      <c r="C230" s="1146">
        <f>C99</f>
        <v>50</v>
      </c>
      <c r="D230" s="1147">
        <f>D229*D92</f>
        <v>670.59486983455633</v>
      </c>
      <c r="E230" s="224" t="s">
        <v>2506</v>
      </c>
      <c r="F230" s="1149">
        <f t="shared" si="22"/>
        <v>12.411897396691126</v>
      </c>
      <c r="G230" s="224" t="s">
        <v>2506</v>
      </c>
      <c r="H230" s="1141">
        <f t="shared" si="23"/>
        <v>8.0567859050026377E-2</v>
      </c>
      <c r="I230" s="879">
        <f t="shared" si="24"/>
        <v>54.028392952501321</v>
      </c>
      <c r="J230" s="1142" t="s">
        <v>2507</v>
      </c>
      <c r="K230" s="225" t="s">
        <v>2497</v>
      </c>
      <c r="L230" s="1149">
        <f t="shared" si="25"/>
        <v>12.411897396691126</v>
      </c>
      <c r="M230" s="879">
        <f t="shared" si="26"/>
        <v>16.113571810005276</v>
      </c>
      <c r="N230" s="1148">
        <f t="shared" si="27"/>
        <v>0.85643796122086147</v>
      </c>
      <c r="O230" s="1144">
        <f t="shared" si="28"/>
        <v>1.167626898011958</v>
      </c>
      <c r="P230" s="166"/>
      <c r="Q230" s="1145">
        <f t="shared" si="29"/>
        <v>0.2235793509489519</v>
      </c>
      <c r="R230" s="318"/>
      <c r="S230" s="318"/>
      <c r="T230" s="318"/>
      <c r="U230" s="318"/>
      <c r="V230" s="318"/>
      <c r="W230" s="318"/>
      <c r="X230" s="318"/>
      <c r="Y230" s="318"/>
      <c r="Z230" s="318"/>
      <c r="AA230" s="318"/>
    </row>
    <row r="231" spans="2:27">
      <c r="B231" s="1139">
        <f>B99</f>
        <v>200</v>
      </c>
      <c r="C231" s="1146">
        <f>C99</f>
        <v>50</v>
      </c>
      <c r="D231" s="1147">
        <f>D230*D92</f>
        <v>684.00676723124752</v>
      </c>
      <c r="E231" s="224" t="s">
        <v>2506</v>
      </c>
      <c r="F231" s="1149">
        <f t="shared" si="22"/>
        <v>12.680135344624951</v>
      </c>
      <c r="G231" s="224" t="s">
        <v>2506</v>
      </c>
      <c r="H231" s="1141">
        <f t="shared" si="23"/>
        <v>7.8863511533723119E-2</v>
      </c>
      <c r="I231" s="879">
        <f t="shared" si="24"/>
        <v>53.943175576686158</v>
      </c>
      <c r="J231" s="1142" t="s">
        <v>2507</v>
      </c>
      <c r="K231" s="225" t="s">
        <v>2497</v>
      </c>
      <c r="L231" s="1149">
        <f t="shared" si="25"/>
        <v>12.680135344624951</v>
      </c>
      <c r="M231" s="879">
        <f t="shared" si="26"/>
        <v>15.772702306744627</v>
      </c>
      <c r="N231" s="1148">
        <f t="shared" si="27"/>
        <v>0.85914603478228146</v>
      </c>
      <c r="O231" s="1144">
        <f t="shared" si="28"/>
        <v>1.1639464765188758</v>
      </c>
      <c r="P231" s="166"/>
      <c r="Q231" s="1145">
        <f t="shared" si="29"/>
        <v>0.21902471818075164</v>
      </c>
      <c r="R231" s="318"/>
      <c r="S231" s="318"/>
      <c r="T231" s="318"/>
      <c r="U231" s="318"/>
      <c r="V231" s="318"/>
      <c r="W231" s="318"/>
      <c r="X231" s="318"/>
      <c r="Y231" s="318"/>
      <c r="Z231" s="318"/>
      <c r="AA231" s="318"/>
    </row>
    <row r="232" spans="2:27">
      <c r="B232" s="1139">
        <f>B99</f>
        <v>200</v>
      </c>
      <c r="C232" s="1146">
        <f>C99</f>
        <v>50</v>
      </c>
      <c r="D232" s="1147">
        <f>D231*D92</f>
        <v>697.68690257587252</v>
      </c>
      <c r="E232" s="224" t="s">
        <v>2506</v>
      </c>
      <c r="F232" s="1149">
        <f t="shared" si="22"/>
        <v>12.953738051517451</v>
      </c>
      <c r="G232" s="224" t="s">
        <v>2506</v>
      </c>
      <c r="H232" s="1141">
        <f t="shared" si="23"/>
        <v>7.7197793874089968E-2</v>
      </c>
      <c r="I232" s="879">
        <f t="shared" si="24"/>
        <v>53.859889693704496</v>
      </c>
      <c r="J232" s="1142" t="s">
        <v>2507</v>
      </c>
      <c r="K232" s="225" t="s">
        <v>2497</v>
      </c>
      <c r="L232" s="1149">
        <f t="shared" si="25"/>
        <v>12.953738051517451</v>
      </c>
      <c r="M232" s="879">
        <f t="shared" si="26"/>
        <v>15.439558774817995</v>
      </c>
      <c r="N232" s="1148">
        <f t="shared" si="27"/>
        <v>0.86180515869136953</v>
      </c>
      <c r="O232" s="1144">
        <f t="shared" si="28"/>
        <v>1.1603550871272064</v>
      </c>
      <c r="P232" s="166"/>
      <c r="Q232" s="1145">
        <f t="shared" si="29"/>
        <v>0.21456636056510364</v>
      </c>
      <c r="R232" s="318"/>
      <c r="S232" s="318"/>
      <c r="T232" s="318"/>
      <c r="U232" s="318"/>
      <c r="V232" s="318"/>
      <c r="W232" s="318"/>
      <c r="X232" s="318"/>
      <c r="Y232" s="318"/>
      <c r="Z232" s="318"/>
      <c r="AA232" s="318"/>
    </row>
    <row r="233" spans="2:27">
      <c r="B233" s="1139">
        <f>B99</f>
        <v>200</v>
      </c>
      <c r="C233" s="1146">
        <f>C99</f>
        <v>50</v>
      </c>
      <c r="D233" s="1147">
        <f>D232*D92</f>
        <v>711.64064062738998</v>
      </c>
      <c r="E233" s="224" t="s">
        <v>2506</v>
      </c>
      <c r="F233" s="1149">
        <f t="shared" si="22"/>
        <v>13.232812812547799</v>
      </c>
      <c r="G233" s="224" t="s">
        <v>2506</v>
      </c>
      <c r="H233" s="1141">
        <f t="shared" si="23"/>
        <v>7.5569723094077654E-2</v>
      </c>
      <c r="I233" s="879">
        <f t="shared" si="24"/>
        <v>53.778486154703884</v>
      </c>
      <c r="J233" s="1142" t="s">
        <v>2507</v>
      </c>
      <c r="K233" s="225" t="s">
        <v>2497</v>
      </c>
      <c r="L233" s="1149">
        <f t="shared" si="25"/>
        <v>13.232812812547799</v>
      </c>
      <c r="M233" s="879">
        <f t="shared" si="26"/>
        <v>15.11394461881553</v>
      </c>
      <c r="N233" s="1148">
        <f t="shared" si="27"/>
        <v>0.86441613160230235</v>
      </c>
      <c r="O233" s="1144">
        <f t="shared" si="28"/>
        <v>1.1568502292366711</v>
      </c>
      <c r="P233" s="166"/>
      <c r="Q233" s="1145">
        <f t="shared" si="29"/>
        <v>0.21020209908341334</v>
      </c>
      <c r="R233" s="318"/>
      <c r="S233" s="318"/>
      <c r="T233" s="318"/>
      <c r="U233" s="318"/>
      <c r="V233" s="318"/>
      <c r="W233" s="318"/>
      <c r="X233" s="318"/>
      <c r="Y233" s="318"/>
      <c r="Z233" s="318"/>
      <c r="AA233" s="318"/>
    </row>
    <row r="234" spans="2:27">
      <c r="B234" s="1139">
        <f>B99</f>
        <v>200</v>
      </c>
      <c r="C234" s="1146">
        <f>C99</f>
        <v>50</v>
      </c>
      <c r="D234" s="1147">
        <f>D233*D92</f>
        <v>725.87345343993775</v>
      </c>
      <c r="E234" s="224" t="s">
        <v>2506</v>
      </c>
      <c r="F234" s="1149">
        <f t="shared" si="22"/>
        <v>13.517469068798755</v>
      </c>
      <c r="G234" s="224" t="s">
        <v>2506</v>
      </c>
      <c r="H234" s="1141">
        <f t="shared" si="23"/>
        <v>7.3978345717706617E-2</v>
      </c>
      <c r="I234" s="879">
        <f t="shared" si="24"/>
        <v>53.698917285885329</v>
      </c>
      <c r="J234" s="1142" t="s">
        <v>2507</v>
      </c>
      <c r="K234" s="225" t="s">
        <v>2497</v>
      </c>
      <c r="L234" s="1149">
        <f t="shared" si="25"/>
        <v>13.517469068798755</v>
      </c>
      <c r="M234" s="879">
        <f t="shared" si="26"/>
        <v>14.795669143541321</v>
      </c>
      <c r="N234" s="1148">
        <f t="shared" si="27"/>
        <v>0.86697974276674772</v>
      </c>
      <c r="O234" s="1144">
        <f t="shared" si="28"/>
        <v>1.1534294870705417</v>
      </c>
      <c r="P234" s="166"/>
      <c r="Q234" s="1145">
        <f t="shared" si="29"/>
        <v>0.20592981003469032</v>
      </c>
      <c r="R234" s="318"/>
      <c r="S234" s="318"/>
      <c r="T234" s="318"/>
      <c r="U234" s="318"/>
      <c r="V234" s="318"/>
      <c r="W234" s="318"/>
      <c r="X234" s="318"/>
      <c r="Y234" s="318"/>
      <c r="Z234" s="318"/>
      <c r="AA234" s="318"/>
    </row>
    <row r="235" spans="2:27">
      <c r="B235" s="1139">
        <f>B99</f>
        <v>200</v>
      </c>
      <c r="C235" s="1146">
        <f>C99</f>
        <v>50</v>
      </c>
      <c r="D235" s="1147">
        <f>D234*D92</f>
        <v>740.39092250873648</v>
      </c>
      <c r="E235" s="224" t="s">
        <v>2506</v>
      </c>
      <c r="F235" s="1149">
        <f t="shared" si="22"/>
        <v>13.807818450174729</v>
      </c>
      <c r="G235" s="224" t="s">
        <v>2506</v>
      </c>
      <c r="H235" s="1141">
        <f t="shared" si="23"/>
        <v>7.2422736698666959E-2</v>
      </c>
      <c r="I235" s="879">
        <f t="shared" si="24"/>
        <v>53.621136834933345</v>
      </c>
      <c r="J235" s="1142" t="s">
        <v>2507</v>
      </c>
      <c r="K235" s="225" t="s">
        <v>2497</v>
      </c>
      <c r="L235" s="1149">
        <f t="shared" si="25"/>
        <v>13.807818450174731</v>
      </c>
      <c r="M235" s="879">
        <f t="shared" si="26"/>
        <v>14.484547339733391</v>
      </c>
      <c r="N235" s="1148">
        <f t="shared" si="27"/>
        <v>0.86949677197524355</v>
      </c>
      <c r="O235" s="1144">
        <f t="shared" si="28"/>
        <v>1.1500905261882584</v>
      </c>
      <c r="P235" s="166"/>
      <c r="Q235" s="1145">
        <f t="shared" si="29"/>
        <v>0.2017474233807473</v>
      </c>
      <c r="R235" s="318"/>
      <c r="S235" s="318"/>
      <c r="T235" s="318"/>
      <c r="U235" s="318"/>
      <c r="V235" s="318"/>
      <c r="W235" s="318"/>
      <c r="X235" s="318"/>
      <c r="Y235" s="318"/>
      <c r="Z235" s="318"/>
      <c r="AA235" s="318"/>
    </row>
    <row r="236" spans="2:27">
      <c r="B236" s="1139">
        <f>B99</f>
        <v>200</v>
      </c>
      <c r="C236" s="1146">
        <f>C99</f>
        <v>50</v>
      </c>
      <c r="D236" s="1147">
        <f>D235*D92</f>
        <v>755.19874095891123</v>
      </c>
      <c r="E236" s="224" t="s">
        <v>2506</v>
      </c>
      <c r="F236" s="1149">
        <f t="shared" si="22"/>
        <v>14.103974819178225</v>
      </c>
      <c r="G236" s="224" t="s">
        <v>2506</v>
      </c>
      <c r="H236" s="1141">
        <f t="shared" si="23"/>
        <v>7.0901998395532129E-2</v>
      </c>
      <c r="I236" s="879">
        <f t="shared" si="24"/>
        <v>53.545099919776604</v>
      </c>
      <c r="J236" s="1142" t="s">
        <v>2507</v>
      </c>
      <c r="K236" s="225" t="s">
        <v>2497</v>
      </c>
      <c r="L236" s="1149">
        <f t="shared" si="25"/>
        <v>14.103974819178225</v>
      </c>
      <c r="M236" s="879">
        <f t="shared" si="26"/>
        <v>14.180399679106424</v>
      </c>
      <c r="N236" s="1148">
        <f t="shared" si="27"/>
        <v>0.87196798950916721</v>
      </c>
      <c r="O236" s="1144">
        <f t="shared" si="28"/>
        <v>1.1468310901675443</v>
      </c>
      <c r="P236" s="166"/>
      <c r="Q236" s="1145">
        <f t="shared" si="29"/>
        <v>0.19765292115126637</v>
      </c>
      <c r="R236" s="318"/>
      <c r="S236" s="318"/>
      <c r="T236" s="318"/>
      <c r="U236" s="318"/>
      <c r="V236" s="318"/>
      <c r="W236" s="318"/>
      <c r="X236" s="318"/>
      <c r="Y236" s="318"/>
      <c r="Z236" s="318"/>
      <c r="AA236" s="318"/>
    </row>
    <row r="237" spans="2:27">
      <c r="B237" s="1139">
        <f>B99</f>
        <v>200</v>
      </c>
      <c r="C237" s="1146">
        <f>C99</f>
        <v>50</v>
      </c>
      <c r="D237" s="1147">
        <f>D236*D92</f>
        <v>770.30271577808946</v>
      </c>
      <c r="E237" s="224" t="s">
        <v>2506</v>
      </c>
      <c r="F237" s="1149">
        <f t="shared" si="22"/>
        <v>14.406054315561789</v>
      </c>
      <c r="G237" s="224" t="s">
        <v>2506</v>
      </c>
      <c r="H237" s="1141">
        <f t="shared" si="23"/>
        <v>6.9415259591224396E-2</v>
      </c>
      <c r="I237" s="879">
        <f t="shared" si="24"/>
        <v>53.470762979561222</v>
      </c>
      <c r="J237" s="1142" t="s">
        <v>2507</v>
      </c>
      <c r="K237" s="225" t="s">
        <v>2497</v>
      </c>
      <c r="L237" s="1149">
        <f t="shared" si="25"/>
        <v>14.406054315561789</v>
      </c>
      <c r="M237" s="879">
        <f t="shared" si="26"/>
        <v>13.883051918244879</v>
      </c>
      <c r="N237" s="1148">
        <f t="shared" si="27"/>
        <v>0.87439415610270943</v>
      </c>
      <c r="O237" s="1144">
        <f t="shared" si="28"/>
        <v>1.1436489974465662</v>
      </c>
      <c r="P237" s="166"/>
      <c r="Q237" s="1145">
        <f t="shared" si="29"/>
        <v>0.19364433590615188</v>
      </c>
      <c r="R237" s="318"/>
      <c r="S237" s="318"/>
      <c r="T237" s="318"/>
      <c r="U237" s="318"/>
      <c r="V237" s="318"/>
      <c r="W237" s="318"/>
      <c r="X237" s="318"/>
      <c r="Y237" s="318"/>
      <c r="Z237" s="318"/>
      <c r="AA237" s="318"/>
    </row>
    <row r="238" spans="2:27">
      <c r="B238" s="1139">
        <f>B99</f>
        <v>200</v>
      </c>
      <c r="C238" s="1146">
        <f>C99</f>
        <v>50</v>
      </c>
      <c r="D238" s="1147">
        <f>D237*D92</f>
        <v>785.70877009365131</v>
      </c>
      <c r="E238" s="224" t="s">
        <v>2506</v>
      </c>
      <c r="F238" s="1149">
        <f t="shared" si="22"/>
        <v>14.714175401873026</v>
      </c>
      <c r="G238" s="224" t="s">
        <v>2506</v>
      </c>
      <c r="H238" s="1141">
        <f t="shared" si="23"/>
        <v>6.7961674554505178E-2</v>
      </c>
      <c r="I238" s="879">
        <f t="shared" si="24"/>
        <v>53.398083727725258</v>
      </c>
      <c r="J238" s="1142" t="s">
        <v>2507</v>
      </c>
      <c r="K238" s="225" t="s">
        <v>2497</v>
      </c>
      <c r="L238" s="1149">
        <f t="shared" si="25"/>
        <v>14.714175401873026</v>
      </c>
      <c r="M238" s="879">
        <f t="shared" si="26"/>
        <v>13.592334910901036</v>
      </c>
      <c r="N238" s="1148">
        <f t="shared" si="27"/>
        <v>0.87677602291431667</v>
      </c>
      <c r="O238" s="1144">
        <f t="shared" si="28"/>
        <v>1.1405421383172627</v>
      </c>
      <c r="P238" s="166"/>
      <c r="Q238" s="1145">
        <f t="shared" si="29"/>
        <v>0.18971974925269147</v>
      </c>
      <c r="R238" s="318"/>
      <c r="S238" s="318"/>
      <c r="T238" s="318"/>
      <c r="U238" s="318"/>
      <c r="V238" s="318"/>
      <c r="W238" s="318"/>
      <c r="X238" s="318"/>
      <c r="Y238" s="318"/>
      <c r="Z238" s="318"/>
      <c r="AA238" s="318"/>
    </row>
    <row r="239" spans="2:27">
      <c r="B239" s="1139">
        <f>B99</f>
        <v>200</v>
      </c>
      <c r="C239" s="1146">
        <f>C99</f>
        <v>50</v>
      </c>
      <c r="D239" s="1147">
        <f>D238*D92</f>
        <v>801.42294549552435</v>
      </c>
      <c r="E239" s="224" t="s">
        <v>2506</v>
      </c>
      <c r="F239" s="1149">
        <f t="shared" si="22"/>
        <v>15.028458909910487</v>
      </c>
      <c r="G239" s="224" t="s">
        <v>2506</v>
      </c>
      <c r="H239" s="1141">
        <f t="shared" si="23"/>
        <v>6.6540422141391498E-2</v>
      </c>
      <c r="I239" s="879">
        <f t="shared" si="24"/>
        <v>53.327021107069577</v>
      </c>
      <c r="J239" s="1142" t="s">
        <v>2507</v>
      </c>
      <c r="K239" s="225" t="s">
        <v>2497</v>
      </c>
      <c r="L239" s="1149">
        <f t="shared" si="25"/>
        <v>15.028458909910487</v>
      </c>
      <c r="M239" s="879">
        <f t="shared" si="26"/>
        <v>13.308084428278299</v>
      </c>
      <c r="N239" s="1148">
        <f t="shared" si="27"/>
        <v>0.87911433150706386</v>
      </c>
      <c r="O239" s="1144">
        <f t="shared" si="28"/>
        <v>1.1375084720615374</v>
      </c>
      <c r="P239" s="166"/>
      <c r="Q239" s="1145">
        <f t="shared" si="29"/>
        <v>0.18587729041520165</v>
      </c>
      <c r="R239" s="318"/>
      <c r="S239" s="318"/>
      <c r="T239" s="318"/>
      <c r="U239" s="318"/>
      <c r="V239" s="318"/>
      <c r="W239" s="318"/>
      <c r="X239" s="318"/>
      <c r="Y239" s="318"/>
      <c r="Z239" s="318"/>
      <c r="AA239" s="318"/>
    </row>
    <row r="240" spans="2:27">
      <c r="B240" s="1139">
        <f>B99</f>
        <v>200</v>
      </c>
      <c r="C240" s="1146">
        <f>C99</f>
        <v>50</v>
      </c>
      <c r="D240" s="1147">
        <f>D239*D92</f>
        <v>817.4514044054348</v>
      </c>
      <c r="E240" s="224" t="s">
        <v>2506</v>
      </c>
      <c r="F240" s="1149">
        <f t="shared" si="22"/>
        <v>15.349028088108696</v>
      </c>
      <c r="G240" s="224" t="s">
        <v>2506</v>
      </c>
      <c r="H240" s="1141">
        <f t="shared" si="23"/>
        <v>6.5150704934518092E-2</v>
      </c>
      <c r="I240" s="879">
        <f t="shared" si="24"/>
        <v>53.257535246725908</v>
      </c>
      <c r="J240" s="1142" t="s">
        <v>2507</v>
      </c>
      <c r="K240" s="225" t="s">
        <v>2497</v>
      </c>
      <c r="L240" s="1149">
        <f t="shared" si="25"/>
        <v>15.349028088108694</v>
      </c>
      <c r="M240" s="879">
        <f t="shared" si="26"/>
        <v>13.03014098690362</v>
      </c>
      <c r="N240" s="1148">
        <f t="shared" si="27"/>
        <v>0.8814098138374733</v>
      </c>
      <c r="O240" s="1144">
        <f t="shared" si="28"/>
        <v>1.1345460242225009</v>
      </c>
      <c r="P240" s="166"/>
      <c r="Q240" s="1145">
        <f t="shared" si="29"/>
        <v>0.1821151348549121</v>
      </c>
      <c r="R240" s="318"/>
      <c r="S240" s="318"/>
      <c r="T240" s="318"/>
      <c r="U240" s="318"/>
      <c r="V240" s="318"/>
      <c r="W240" s="318"/>
      <c r="X240" s="318"/>
      <c r="Y240" s="318"/>
      <c r="Z240" s="318"/>
      <c r="AA240" s="318"/>
    </row>
    <row r="241" spans="2:27">
      <c r="B241" s="1139">
        <f>B99</f>
        <v>200</v>
      </c>
      <c r="C241" s="1146">
        <f>C99</f>
        <v>50</v>
      </c>
      <c r="D241" s="1147">
        <f>D240*D92</f>
        <v>833.80043249354355</v>
      </c>
      <c r="E241" s="224" t="s">
        <v>2506</v>
      </c>
      <c r="F241" s="1149">
        <f t="shared" si="22"/>
        <v>15.67600864987087</v>
      </c>
      <c r="G241" s="224" t="s">
        <v>2506</v>
      </c>
      <c r="H241" s="1141">
        <f t="shared" si="23"/>
        <v>6.3791748418577043E-2</v>
      </c>
      <c r="I241" s="879">
        <f t="shared" si="24"/>
        <v>53.189587420928852</v>
      </c>
      <c r="J241" s="1142" t="s">
        <v>2507</v>
      </c>
      <c r="K241" s="225" t="s">
        <v>2497</v>
      </c>
      <c r="L241" s="1149">
        <f t="shared" si="25"/>
        <v>15.676008649870871</v>
      </c>
      <c r="M241" s="879">
        <f t="shared" si="26"/>
        <v>12.758349683715407</v>
      </c>
      <c r="N241" s="1148">
        <f t="shared" si="27"/>
        <v>0.88366319225228829</v>
      </c>
      <c r="O241" s="1144">
        <f t="shared" si="28"/>
        <v>1.1316528840034532</v>
      </c>
      <c r="P241" s="166"/>
      <c r="Q241" s="1145">
        <f t="shared" si="29"/>
        <v>0.17843150293799245</v>
      </c>
      <c r="R241" s="318"/>
      <c r="S241" s="318"/>
      <c r="T241" s="318"/>
      <c r="U241" s="318"/>
      <c r="V241" s="318"/>
      <c r="W241" s="318"/>
      <c r="X241" s="318"/>
      <c r="Y241" s="318"/>
      <c r="Z241" s="318"/>
      <c r="AA241" s="318"/>
    </row>
    <row r="242" spans="2:27">
      <c r="B242" s="1139">
        <f>B99</f>
        <v>200</v>
      </c>
      <c r="C242" s="1146">
        <f>C99</f>
        <v>50</v>
      </c>
      <c r="D242" s="1147">
        <f>D241*D92</f>
        <v>850.47644114341449</v>
      </c>
      <c r="E242" s="224" t="s">
        <v>2506</v>
      </c>
      <c r="F242" s="1149">
        <f t="shared" si="22"/>
        <v>16.00952882286829</v>
      </c>
      <c r="G242" s="224" t="s">
        <v>2506</v>
      </c>
      <c r="H242" s="1141">
        <f t="shared" si="23"/>
        <v>6.2462800190070715E-2</v>
      </c>
      <c r="I242" s="879">
        <f t="shared" si="24"/>
        <v>53.123140009503537</v>
      </c>
      <c r="J242" s="1142" t="s">
        <v>2507</v>
      </c>
      <c r="K242" s="225" t="s">
        <v>2497</v>
      </c>
      <c r="L242" s="1149">
        <f t="shared" si="25"/>
        <v>16.00952882286829</v>
      </c>
      <c r="M242" s="879">
        <f t="shared" si="26"/>
        <v>12.492560038014144</v>
      </c>
      <c r="N242" s="1148">
        <f t="shared" si="27"/>
        <v>0.88587517949274952</v>
      </c>
      <c r="O242" s="1144">
        <f t="shared" si="28"/>
        <v>1.1288272017877261</v>
      </c>
      <c r="P242" s="166"/>
      <c r="Q242" s="1145">
        <f t="shared" si="29"/>
        <v>0.17482465864970562</v>
      </c>
      <c r="R242" s="318"/>
      <c r="S242" s="318"/>
      <c r="T242" s="318"/>
      <c r="U242" s="318"/>
      <c r="V242" s="318"/>
      <c r="W242" s="318"/>
      <c r="X242" s="318"/>
      <c r="Y242" s="318"/>
      <c r="Z242" s="318"/>
      <c r="AA242" s="318"/>
    </row>
    <row r="243" spans="2:27">
      <c r="B243" s="1139">
        <f>B99</f>
        <v>200</v>
      </c>
      <c r="C243" s="1146">
        <f>C99</f>
        <v>50</v>
      </c>
      <c r="D243" s="1147">
        <f>D242*D92</f>
        <v>867.48596996628282</v>
      </c>
      <c r="E243" s="224" t="s">
        <v>2506</v>
      </c>
      <c r="F243" s="1149">
        <f t="shared" si="22"/>
        <v>16.349719399325657</v>
      </c>
      <c r="G243" s="224" t="s">
        <v>2506</v>
      </c>
      <c r="H243" s="1141">
        <f t="shared" si="23"/>
        <v>6.1163129199712438E-2</v>
      </c>
      <c r="I243" s="879">
        <f t="shared" si="24"/>
        <v>53.058156459985625</v>
      </c>
      <c r="J243" s="1142" t="s">
        <v>2507</v>
      </c>
      <c r="K243" s="225" t="s">
        <v>2497</v>
      </c>
      <c r="L243" s="1149">
        <f t="shared" si="25"/>
        <v>16.349719399325654</v>
      </c>
      <c r="M243" s="879">
        <f t="shared" si="26"/>
        <v>12.232625839942488</v>
      </c>
      <c r="N243" s="1148">
        <f t="shared" si="27"/>
        <v>0.88804647870593911</v>
      </c>
      <c r="O243" s="1144">
        <f t="shared" si="28"/>
        <v>1.1260671867729259</v>
      </c>
      <c r="P243" s="166"/>
      <c r="Q243" s="1145">
        <f t="shared" si="29"/>
        <v>0.17129290835277153</v>
      </c>
      <c r="R243" s="318"/>
      <c r="S243" s="318"/>
      <c r="T243" s="318"/>
      <c r="U243" s="318"/>
      <c r="V243" s="318"/>
      <c r="W243" s="318"/>
      <c r="X243" s="318"/>
      <c r="Y243" s="318"/>
      <c r="Z243" s="318"/>
      <c r="AA243" s="318"/>
    </row>
    <row r="244" spans="2:27">
      <c r="B244" s="1139">
        <f>B99</f>
        <v>200</v>
      </c>
      <c r="C244" s="1146">
        <f>C99</f>
        <v>50</v>
      </c>
      <c r="D244" s="1147">
        <f>D243*D92</f>
        <v>884.83568936560846</v>
      </c>
      <c r="E244" s="224" t="s">
        <v>2506</v>
      </c>
      <c r="F244" s="1149">
        <f t="shared" si="22"/>
        <v>16.69671378731217</v>
      </c>
      <c r="G244" s="224" t="s">
        <v>2506</v>
      </c>
      <c r="H244" s="1141">
        <f t="shared" si="23"/>
        <v>5.9892025025900596E-2</v>
      </c>
      <c r="I244" s="879">
        <f t="shared" si="24"/>
        <v>52.99460125129503</v>
      </c>
      <c r="J244" s="1142" t="s">
        <v>2507</v>
      </c>
      <c r="K244" s="225" t="s">
        <v>2497</v>
      </c>
      <c r="L244" s="1149">
        <f t="shared" si="25"/>
        <v>16.69671378731217</v>
      </c>
      <c r="M244" s="879">
        <f t="shared" si="26"/>
        <v>11.978405005180122</v>
      </c>
      <c r="N244" s="1148">
        <f t="shared" si="27"/>
        <v>0.89017778346277843</v>
      </c>
      <c r="O244" s="1144">
        <f t="shared" si="28"/>
        <v>1.1233711047135042</v>
      </c>
      <c r="P244" s="166"/>
      <c r="Q244" s="1145">
        <f t="shared" si="29"/>
        <v>0.167834599588121</v>
      </c>
      <c r="R244" s="318"/>
      <c r="S244" s="318"/>
      <c r="T244" s="318"/>
      <c r="U244" s="318"/>
      <c r="V244" s="318"/>
      <c r="W244" s="318"/>
      <c r="X244" s="318"/>
      <c r="Y244" s="318"/>
      <c r="Z244" s="318"/>
      <c r="AA244" s="318"/>
    </row>
    <row r="245" spans="2:27">
      <c r="B245" s="1139">
        <f>B99</f>
        <v>200</v>
      </c>
      <c r="C245" s="1146">
        <f>C99</f>
        <v>50</v>
      </c>
      <c r="D245" s="1147">
        <f>D244*D92</f>
        <v>902.53240315292066</v>
      </c>
      <c r="E245" s="224" t="s">
        <v>2506</v>
      </c>
      <c r="F245" s="1149">
        <f t="shared" si="22"/>
        <v>17.050648063058414</v>
      </c>
      <c r="G245" s="224" t="s">
        <v>2506</v>
      </c>
      <c r="H245" s="1141">
        <f t="shared" si="23"/>
        <v>5.8648797177778808E-2</v>
      </c>
      <c r="I245" s="879">
        <f t="shared" si="24"/>
        <v>52.932439858888941</v>
      </c>
      <c r="J245" s="1142" t="s">
        <v>2507</v>
      </c>
      <c r="K245" s="225" t="s">
        <v>2497</v>
      </c>
      <c r="L245" s="1149">
        <f t="shared" si="25"/>
        <v>17.050648063058414</v>
      </c>
      <c r="M245" s="879">
        <f t="shared" si="26"/>
        <v>11.729759435555762</v>
      </c>
      <c r="N245" s="1148">
        <f t="shared" si="27"/>
        <v>0.89226977778227201</v>
      </c>
      <c r="O245" s="1144">
        <f t="shared" si="28"/>
        <v>1.1207372757659577</v>
      </c>
      <c r="P245" s="166"/>
      <c r="Q245" s="1145">
        <f t="shared" si="29"/>
        <v>0.16444811991631911</v>
      </c>
      <c r="R245" s="318"/>
      <c r="S245" s="318"/>
      <c r="T245" s="318"/>
      <c r="U245" s="318"/>
      <c r="V245" s="318"/>
      <c r="W245" s="318"/>
      <c r="X245" s="318"/>
      <c r="Y245" s="318"/>
      <c r="Z245" s="318"/>
      <c r="AA245" s="318"/>
    </row>
    <row r="246" spans="2:27">
      <c r="B246" s="1139">
        <f>B99</f>
        <v>200</v>
      </c>
      <c r="C246" s="1146">
        <f>C99</f>
        <v>50</v>
      </c>
      <c r="D246" s="1147">
        <f>D245*D92</f>
        <v>920.58305121597914</v>
      </c>
      <c r="E246" s="224" t="s">
        <v>2506</v>
      </c>
      <c r="F246" s="1149">
        <f t="shared" si="22"/>
        <v>17.411661024319582</v>
      </c>
      <c r="G246" s="224" t="s">
        <v>2506</v>
      </c>
      <c r="H246" s="1141">
        <f t="shared" si="23"/>
        <v>5.7432774426475396E-2</v>
      </c>
      <c r="I246" s="879">
        <f t="shared" si="24"/>
        <v>52.87163872132377</v>
      </c>
      <c r="J246" s="1142" t="s">
        <v>2507</v>
      </c>
      <c r="K246" s="225" t="s">
        <v>2497</v>
      </c>
      <c r="L246" s="1149">
        <f t="shared" si="25"/>
        <v>17.411661024319582</v>
      </c>
      <c r="M246" s="879">
        <f t="shared" si="26"/>
        <v>11.486554885295078</v>
      </c>
      <c r="N246" s="1148">
        <f t="shared" si="27"/>
        <v>0.89432313616163339</v>
      </c>
      <c r="O246" s="1144">
        <f t="shared" si="28"/>
        <v>1.1181640724312731</v>
      </c>
      <c r="P246" s="166"/>
      <c r="Q246" s="1145">
        <f t="shared" si="29"/>
        <v>0.16113189579798803</v>
      </c>
      <c r="R246" s="318"/>
      <c r="S246" s="318"/>
      <c r="T246" s="318"/>
      <c r="U246" s="318"/>
      <c r="V246" s="318"/>
      <c r="W246" s="318"/>
      <c r="X246" s="318"/>
      <c r="Y246" s="318"/>
      <c r="Z246" s="318"/>
      <c r="AA246" s="318"/>
    </row>
    <row r="247" spans="2:27">
      <c r="B247" s="1139">
        <f>B99</f>
        <v>200</v>
      </c>
      <c r="C247" s="1146">
        <f>C99</f>
        <v>50</v>
      </c>
      <c r="D247" s="1147">
        <f>D246*D92</f>
        <v>938.99471224029878</v>
      </c>
      <c r="E247" s="224" t="s">
        <v>2506</v>
      </c>
      <c r="F247" s="1149">
        <f t="shared" si="22"/>
        <v>17.779894244805977</v>
      </c>
      <c r="G247" s="224" t="s">
        <v>2506</v>
      </c>
      <c r="H247" s="1141">
        <f t="shared" si="23"/>
        <v>5.6243304163191468E-2</v>
      </c>
      <c r="I247" s="879">
        <f t="shared" si="24"/>
        <v>52.81216520815957</v>
      </c>
      <c r="J247" s="1142" t="s">
        <v>2507</v>
      </c>
      <c r="K247" s="225" t="s">
        <v>2497</v>
      </c>
      <c r="L247" s="1149">
        <f t="shared" si="25"/>
        <v>17.779894244805977</v>
      </c>
      <c r="M247" s="879">
        <f t="shared" si="26"/>
        <v>11.248660832638294</v>
      </c>
      <c r="N247" s="1148">
        <f t="shared" si="27"/>
        <v>0.89633852361191935</v>
      </c>
      <c r="O247" s="1144">
        <f t="shared" si="28"/>
        <v>1.115649917589576</v>
      </c>
      <c r="P247" s="166"/>
      <c r="Q247" s="1145">
        <f t="shared" si="29"/>
        <v>0.1578843915116751</v>
      </c>
      <c r="R247" s="318"/>
      <c r="S247" s="318"/>
      <c r="T247" s="318"/>
      <c r="U247" s="318"/>
      <c r="V247" s="318"/>
      <c r="W247" s="318"/>
      <c r="X247" s="318"/>
      <c r="Y247" s="318"/>
      <c r="Z247" s="318"/>
      <c r="AA247" s="318"/>
    </row>
    <row r="248" spans="2:27">
      <c r="B248" s="1139">
        <f>B99</f>
        <v>200</v>
      </c>
      <c r="C248" s="1146">
        <f>C99</f>
        <v>50</v>
      </c>
      <c r="D248" s="1147">
        <f>D247*D92</f>
        <v>957.77460648510475</v>
      </c>
      <c r="E248" s="224" t="s">
        <v>2506</v>
      </c>
      <c r="F248" s="1149">
        <f t="shared" si="22"/>
        <v>18.155492129702097</v>
      </c>
      <c r="G248" s="224" t="s">
        <v>2506</v>
      </c>
      <c r="H248" s="1141">
        <f t="shared" si="23"/>
        <v>5.5079751782878737E-2</v>
      </c>
      <c r="I248" s="879">
        <f t="shared" si="24"/>
        <v>52.753987589143939</v>
      </c>
      <c r="J248" s="1142" t="s">
        <v>2507</v>
      </c>
      <c r="K248" s="225" t="s">
        <v>2497</v>
      </c>
      <c r="L248" s="1149">
        <f t="shared" si="25"/>
        <v>18.155492129702093</v>
      </c>
      <c r="M248" s="879">
        <f t="shared" si="26"/>
        <v>11.015950356575749</v>
      </c>
      <c r="N248" s="1148">
        <f t="shared" si="27"/>
        <v>0.89831659569883071</v>
      </c>
      <c r="O248" s="1144">
        <f t="shared" si="28"/>
        <v>1.1131932826222211</v>
      </c>
      <c r="P248" s="166"/>
      <c r="Q248" s="1145">
        <f t="shared" si="29"/>
        <v>0.1547041081076618</v>
      </c>
      <c r="R248" s="318"/>
      <c r="S248" s="318"/>
      <c r="T248" s="318"/>
      <c r="U248" s="318"/>
      <c r="V248" s="318"/>
      <c r="W248" s="318"/>
      <c r="X248" s="318"/>
      <c r="Y248" s="318"/>
      <c r="Z248" s="318"/>
      <c r="AA248" s="318"/>
    </row>
    <row r="249" spans="2:27">
      <c r="B249" s="1139">
        <f>B99</f>
        <v>200</v>
      </c>
      <c r="C249" s="1146">
        <f>C99</f>
        <v>50</v>
      </c>
      <c r="D249" s="1147">
        <f>D248*D92</f>
        <v>976.93009861480687</v>
      </c>
      <c r="E249" s="224" t="s">
        <v>2506</v>
      </c>
      <c r="F249" s="1149">
        <f t="shared" si="22"/>
        <v>18.538601972296139</v>
      </c>
      <c r="G249" s="224" t="s">
        <v>2506</v>
      </c>
      <c r="H249" s="1141">
        <f t="shared" si="23"/>
        <v>5.3941500092314826E-2</v>
      </c>
      <c r="I249" s="879">
        <f t="shared" si="24"/>
        <v>52.697075004615741</v>
      </c>
      <c r="J249" s="1142" t="s">
        <v>2507</v>
      </c>
      <c r="K249" s="225" t="s">
        <v>2497</v>
      </c>
      <c r="L249" s="1149">
        <f t="shared" si="25"/>
        <v>18.538601972296139</v>
      </c>
      <c r="M249" s="879">
        <f t="shared" si="26"/>
        <v>10.788300018462968</v>
      </c>
      <c r="N249" s="1148">
        <f t="shared" si="27"/>
        <v>0.90025799858835553</v>
      </c>
      <c r="O249" s="1144">
        <f t="shared" si="28"/>
        <v>1.1107926856168391</v>
      </c>
      <c r="P249" s="166"/>
      <c r="Q249" s="1145">
        <f t="shared" si="29"/>
        <v>0.15158958239628142</v>
      </c>
      <c r="R249" s="318"/>
      <c r="S249" s="318"/>
      <c r="T249" s="318"/>
      <c r="U249" s="318"/>
      <c r="V249" s="318"/>
      <c r="W249" s="318"/>
      <c r="X249" s="318"/>
      <c r="Y249" s="318"/>
      <c r="Z249" s="318"/>
      <c r="AA249" s="318"/>
    </row>
    <row r="250" spans="2:27">
      <c r="B250" s="1139">
        <f>B99</f>
        <v>200</v>
      </c>
      <c r="C250" s="1146">
        <f>C99</f>
        <v>50</v>
      </c>
      <c r="D250" s="1147">
        <f>D249*D92</f>
        <v>996.46870058710306</v>
      </c>
      <c r="E250" s="224" t="s">
        <v>2506</v>
      </c>
      <c r="F250" s="1149">
        <f t="shared" si="22"/>
        <v>18.929374011742063</v>
      </c>
      <c r="G250" s="224" t="s">
        <v>2506</v>
      </c>
      <c r="H250" s="1141">
        <f t="shared" si="23"/>
        <v>5.2827948741447597E-2</v>
      </c>
      <c r="I250" s="879">
        <f t="shared" si="24"/>
        <v>52.641397437072378</v>
      </c>
      <c r="J250" s="1142" t="s">
        <v>2507</v>
      </c>
      <c r="K250" s="225" t="s">
        <v>2497</v>
      </c>
      <c r="L250" s="1149">
        <f t="shared" si="25"/>
        <v>18.929374011742063</v>
      </c>
      <c r="M250" s="879">
        <f t="shared" si="26"/>
        <v>10.56558974828952</v>
      </c>
      <c r="N250" s="1148">
        <f t="shared" si="27"/>
        <v>0.90216336909693229</v>
      </c>
      <c r="O250" s="1144">
        <f t="shared" si="28"/>
        <v>1.1084466896511243</v>
      </c>
      <c r="P250" s="166"/>
      <c r="Q250" s="1145">
        <f t="shared" si="29"/>
        <v>0.14853938596939253</v>
      </c>
      <c r="R250" s="318"/>
      <c r="S250" s="318"/>
      <c r="T250" s="318"/>
      <c r="U250" s="318"/>
      <c r="V250" s="318"/>
      <c r="W250" s="318"/>
      <c r="X250" s="318"/>
      <c r="Y250" s="318"/>
      <c r="Z250" s="318"/>
      <c r="AA250" s="318"/>
    </row>
    <row r="251" spans="2:27">
      <c r="B251" s="1139">
        <f>B99</f>
        <v>200</v>
      </c>
      <c r="C251" s="1146">
        <f>C99</f>
        <v>50</v>
      </c>
      <c r="D251" s="1147">
        <f>D250*D92</f>
        <v>1016.3980745988451</v>
      </c>
      <c r="E251" s="224" t="s">
        <v>2506</v>
      </c>
      <c r="F251" s="1149">
        <f t="shared" si="22"/>
        <v>19.327961491976904</v>
      </c>
      <c r="G251" s="224" t="s">
        <v>2506</v>
      </c>
      <c r="H251" s="1141">
        <f t="shared" si="23"/>
        <v>5.1738513676939137E-2</v>
      </c>
      <c r="I251" s="879">
        <f t="shared" si="24"/>
        <v>52.586925683846957</v>
      </c>
      <c r="J251" s="1142" t="s">
        <v>2507</v>
      </c>
      <c r="K251" s="225" t="s">
        <v>2497</v>
      </c>
      <c r="L251" s="1149">
        <f t="shared" si="25"/>
        <v>19.327961491976904</v>
      </c>
      <c r="M251" s="879">
        <f t="shared" si="26"/>
        <v>10.347702735387829</v>
      </c>
      <c r="N251" s="1148">
        <f t="shared" si="27"/>
        <v>0.90403333474584047</v>
      </c>
      <c r="O251" s="1144">
        <f t="shared" si="28"/>
        <v>1.1061539011513768</v>
      </c>
      <c r="P251" s="166"/>
      <c r="Q251" s="1145">
        <f t="shared" si="29"/>
        <v>0.14555212425370456</v>
      </c>
      <c r="R251" s="318"/>
      <c r="S251" s="318"/>
      <c r="T251" s="318"/>
      <c r="U251" s="318"/>
      <c r="V251" s="318"/>
      <c r="W251" s="318"/>
      <c r="X251" s="318"/>
      <c r="Y251" s="318"/>
      <c r="Z251" s="318"/>
      <c r="AA251" s="318"/>
    </row>
    <row r="252" spans="2:27">
      <c r="B252" s="1139">
        <f>B99</f>
        <v>200</v>
      </c>
      <c r="C252" s="1146">
        <f>C99</f>
        <v>50</v>
      </c>
      <c r="D252" s="1147">
        <f>D251*D92</f>
        <v>1036.7260360908222</v>
      </c>
      <c r="E252" s="224" t="s">
        <v>2506</v>
      </c>
      <c r="F252" s="1149">
        <f t="shared" si="22"/>
        <v>19.734520721816445</v>
      </c>
      <c r="G252" s="224" t="s">
        <v>2506</v>
      </c>
      <c r="H252" s="1141">
        <f t="shared" si="23"/>
        <v>5.0672626616895915E-2</v>
      </c>
      <c r="I252" s="879">
        <f t="shared" si="24"/>
        <v>52.533631330844798</v>
      </c>
      <c r="J252" s="1142" t="s">
        <v>2507</v>
      </c>
      <c r="K252" s="225" t="s">
        <v>2497</v>
      </c>
      <c r="L252" s="1149">
        <f t="shared" si="25"/>
        <v>19.734520721816441</v>
      </c>
      <c r="M252" s="879">
        <f t="shared" si="26"/>
        <v>10.134525323379185</v>
      </c>
      <c r="N252" s="1148">
        <f t="shared" si="27"/>
        <v>0.90586851381953104</v>
      </c>
      <c r="O252" s="1144">
        <f t="shared" si="28"/>
        <v>1.1039129683220472</v>
      </c>
      <c r="P252" s="166"/>
      <c r="Q252" s="1145">
        <f t="shared" si="29"/>
        <v>0.14262643559471616</v>
      </c>
      <c r="R252" s="318"/>
      <c r="S252" s="318"/>
      <c r="T252" s="318"/>
      <c r="U252" s="318"/>
      <c r="V252" s="318"/>
      <c r="W252" s="318"/>
      <c r="X252" s="318"/>
      <c r="Y252" s="318"/>
      <c r="Z252" s="318"/>
      <c r="AA252" s="318"/>
    </row>
    <row r="253" spans="2:27">
      <c r="B253" s="1139">
        <f>B99</f>
        <v>200</v>
      </c>
      <c r="C253" s="1146">
        <f>C99</f>
        <v>50</v>
      </c>
      <c r="D253" s="1147">
        <f>D252*D92</f>
        <v>1057.4605568126385</v>
      </c>
      <c r="E253" s="224" t="s">
        <v>2506</v>
      </c>
      <c r="F253" s="1149">
        <f t="shared" si="22"/>
        <v>20.14921113625277</v>
      </c>
      <c r="G253" s="224" t="s">
        <v>2506</v>
      </c>
      <c r="H253" s="1141">
        <f t="shared" si="23"/>
        <v>4.9629734545824707E-2</v>
      </c>
      <c r="I253" s="879">
        <f t="shared" si="24"/>
        <v>52.481486727291234</v>
      </c>
      <c r="J253" s="1142" t="s">
        <v>2507</v>
      </c>
      <c r="K253" s="225" t="s">
        <v>2497</v>
      </c>
      <c r="L253" s="1149">
        <f t="shared" si="25"/>
        <v>20.14921113625277</v>
      </c>
      <c r="M253" s="879">
        <f t="shared" si="26"/>
        <v>9.9259469091649404</v>
      </c>
      <c r="N253" s="1148">
        <f t="shared" si="27"/>
        <v>0.9076695154276273</v>
      </c>
      <c r="O253" s="1144">
        <f t="shared" si="28"/>
        <v>1.1017225796427386</v>
      </c>
      <c r="P253" s="166"/>
      <c r="Q253" s="1145">
        <f t="shared" si="29"/>
        <v>0.13976099037008141</v>
      </c>
      <c r="R253" s="318"/>
      <c r="S253" s="318"/>
      <c r="T253" s="318"/>
      <c r="U253" s="318"/>
      <c r="V253" s="318"/>
      <c r="W253" s="318"/>
      <c r="X253" s="318"/>
      <c r="Y253" s="318"/>
      <c r="Z253" s="318"/>
      <c r="AA253" s="318"/>
    </row>
    <row r="254" spans="2:27">
      <c r="B254" s="1139">
        <f>B99</f>
        <v>200</v>
      </c>
      <c r="C254" s="1146">
        <f>C99</f>
        <v>50</v>
      </c>
      <c r="D254" s="1147">
        <f>D253*D92</f>
        <v>1078.6097679488912</v>
      </c>
      <c r="E254" s="224" t="s">
        <v>2506</v>
      </c>
      <c r="F254" s="1149">
        <f t="shared" si="22"/>
        <v>20.572195358977822</v>
      </c>
      <c r="G254" s="224" t="s">
        <v>2506</v>
      </c>
      <c r="H254" s="1141">
        <f t="shared" si="23"/>
        <v>4.8609299228902877E-2</v>
      </c>
      <c r="I254" s="879">
        <f t="shared" si="24"/>
        <v>52.430464961445146</v>
      </c>
      <c r="J254" s="1142" t="s">
        <v>2507</v>
      </c>
      <c r="K254" s="225" t="s">
        <v>2497</v>
      </c>
      <c r="L254" s="1149">
        <f t="shared" si="25"/>
        <v>20.572195358977822</v>
      </c>
      <c r="M254" s="879">
        <f t="shared" si="26"/>
        <v>9.7218598457805765</v>
      </c>
      <c r="N254" s="1148">
        <f t="shared" si="27"/>
        <v>0.90943693957033145</v>
      </c>
      <c r="O254" s="1144">
        <f t="shared" si="28"/>
        <v>1.0995814624293307</v>
      </c>
      <c r="P254" s="166"/>
      <c r="Q254" s="1145">
        <f t="shared" si="29"/>
        <v>0.1369544901312838</v>
      </c>
      <c r="R254" s="318"/>
      <c r="S254" s="318"/>
      <c r="T254" s="318"/>
      <c r="U254" s="318"/>
      <c r="V254" s="318"/>
      <c r="W254" s="318"/>
      <c r="X254" s="318"/>
      <c r="Y254" s="318"/>
      <c r="Z254" s="318"/>
      <c r="AA254" s="318"/>
    </row>
    <row r="255" spans="2:27">
      <c r="B255" s="1139">
        <f>B99</f>
        <v>200</v>
      </c>
      <c r="C255" s="1146">
        <f>C99</f>
        <v>50</v>
      </c>
      <c r="D255" s="1147">
        <f>D254*D92</f>
        <v>1100.181963307869</v>
      </c>
      <c r="E255" s="224" t="s">
        <v>2506</v>
      </c>
      <c r="F255" s="1149">
        <f t="shared" si="22"/>
        <v>21.003639266157379</v>
      </c>
      <c r="G255" s="224" t="s">
        <v>2506</v>
      </c>
      <c r="H255" s="1141">
        <f t="shared" si="23"/>
        <v>4.7610796744699105E-2</v>
      </c>
      <c r="I255" s="879">
        <f t="shared" si="24"/>
        <v>52.380539837234956</v>
      </c>
      <c r="J255" s="1142" t="s">
        <v>2507</v>
      </c>
      <c r="K255" s="225" t="s">
        <v>2497</v>
      </c>
      <c r="L255" s="1149">
        <f t="shared" si="25"/>
        <v>21.003639266157379</v>
      </c>
      <c r="M255" s="879">
        <f t="shared" si="26"/>
        <v>9.5221593489398213</v>
      </c>
      <c r="N255" s="1148">
        <f t="shared" si="27"/>
        <v>0.9111713772069977</v>
      </c>
      <c r="O255" s="1144">
        <f t="shared" si="28"/>
        <v>1.0974883814560632</v>
      </c>
      <c r="P255" s="166"/>
      <c r="Q255" s="1145">
        <f t="shared" si="29"/>
        <v>0.13420566677252863</v>
      </c>
      <c r="R255" s="318"/>
      <c r="S255" s="318"/>
      <c r="T255" s="318"/>
      <c r="U255" s="318"/>
      <c r="V255" s="318"/>
      <c r="W255" s="318"/>
      <c r="X255" s="318"/>
      <c r="Y255" s="318"/>
      <c r="Z255" s="318"/>
      <c r="AA255" s="318"/>
    </row>
    <row r="256" spans="2:27">
      <c r="B256" s="1139">
        <f>B99</f>
        <v>200</v>
      </c>
      <c r="C256" s="1146">
        <f>C99</f>
        <v>50</v>
      </c>
      <c r="D256" s="1147">
        <f>D255*D92</f>
        <v>1122.1856025740265</v>
      </c>
      <c r="E256" s="224" t="s">
        <v>2506</v>
      </c>
      <c r="F256" s="1149">
        <f t="shared" si="22"/>
        <v>21.443712051480528</v>
      </c>
      <c r="G256" s="224" t="s">
        <v>2506</v>
      </c>
      <c r="H256" s="1141">
        <f t="shared" si="23"/>
        <v>4.6633717035524054E-2</v>
      </c>
      <c r="I256" s="879">
        <f t="shared" si="24"/>
        <v>52.3316858517762</v>
      </c>
      <c r="J256" s="1142" t="s">
        <v>2507</v>
      </c>
      <c r="K256" s="225" t="s">
        <v>2497</v>
      </c>
      <c r="L256" s="1149">
        <f t="shared" si="25"/>
        <v>21.443712051480531</v>
      </c>
      <c r="M256" s="879">
        <f t="shared" si="26"/>
        <v>9.3267434071048108</v>
      </c>
      <c r="N256" s="1148">
        <f t="shared" si="27"/>
        <v>0.91287341032763292</v>
      </c>
      <c r="O256" s="1144">
        <f t="shared" si="28"/>
        <v>1.0954421376355974</v>
      </c>
      <c r="P256" s="166"/>
      <c r="Q256" s="1145">
        <f t="shared" si="29"/>
        <v>0.1315132817258273</v>
      </c>
      <c r="R256" s="318"/>
      <c r="S256" s="318"/>
      <c r="T256" s="318"/>
      <c r="U256" s="318"/>
      <c r="V256" s="318"/>
      <c r="W256" s="318"/>
      <c r="X256" s="318"/>
      <c r="Y256" s="318"/>
      <c r="Z256" s="318"/>
      <c r="AA256" s="318"/>
    </row>
    <row r="257" spans="2:27">
      <c r="B257" s="1139">
        <f>B99</f>
        <v>200</v>
      </c>
      <c r="C257" s="1146">
        <f>C99</f>
        <v>50</v>
      </c>
      <c r="D257" s="1147">
        <f>D256*D92</f>
        <v>1144.629314625507</v>
      </c>
      <c r="E257" s="224" t="s">
        <v>2506</v>
      </c>
      <c r="F257" s="1149">
        <f t="shared" si="22"/>
        <v>21.892586292510142</v>
      </c>
      <c r="G257" s="224" t="s">
        <v>2506</v>
      </c>
      <c r="H257" s="1141">
        <f t="shared" si="23"/>
        <v>4.5677563474632435E-2</v>
      </c>
      <c r="I257" s="879">
        <f t="shared" si="24"/>
        <v>52.283878173731622</v>
      </c>
      <c r="J257" s="1142" t="s">
        <v>2507</v>
      </c>
      <c r="K257" s="225" t="s">
        <v>2497</v>
      </c>
      <c r="L257" s="1149">
        <f t="shared" si="25"/>
        <v>21.892586292510142</v>
      </c>
      <c r="M257" s="879">
        <f t="shared" si="26"/>
        <v>9.1355126949264864</v>
      </c>
      <c r="N257" s="1148">
        <f t="shared" si="27"/>
        <v>0.91454361202710199</v>
      </c>
      <c r="O257" s="1144">
        <f t="shared" si="28"/>
        <v>1.0934415667542441</v>
      </c>
      <c r="P257" s="166"/>
      <c r="Q257" s="1145">
        <f t="shared" si="29"/>
        <v>0.12887612518129046</v>
      </c>
      <c r="R257" s="318"/>
      <c r="S257" s="318"/>
      <c r="T257" s="318"/>
      <c r="U257" s="318"/>
      <c r="V257" s="318"/>
      <c r="W257" s="318"/>
      <c r="X257" s="318"/>
      <c r="Y257" s="318"/>
      <c r="Z257" s="318"/>
      <c r="AA257" s="318"/>
    </row>
    <row r="258" spans="2:27">
      <c r="B258" s="1139">
        <f>B99</f>
        <v>200</v>
      </c>
      <c r="C258" s="1146">
        <f>C99</f>
        <v>50</v>
      </c>
      <c r="D258" s="1147">
        <f>D257*D92</f>
        <v>1167.5219009180173</v>
      </c>
      <c r="E258" s="224" t="s">
        <v>2506</v>
      </c>
      <c r="F258" s="1149">
        <f t="shared" si="22"/>
        <v>22.350438018360347</v>
      </c>
      <c r="G258" s="224" t="s">
        <v>2506</v>
      </c>
      <c r="H258" s="1141">
        <f t="shared" si="23"/>
        <v>4.4741852449536969E-2</v>
      </c>
      <c r="I258" s="879">
        <f t="shared" si="24"/>
        <v>52.237092622476851</v>
      </c>
      <c r="J258" s="1142" t="s">
        <v>2507</v>
      </c>
      <c r="K258" s="225" t="s">
        <v>2497</v>
      </c>
      <c r="L258" s="1149">
        <f t="shared" si="25"/>
        <v>22.350438018360347</v>
      </c>
      <c r="M258" s="879">
        <f t="shared" si="26"/>
        <v>8.9483704899073935</v>
      </c>
      <c r="N258" s="1148">
        <f t="shared" si="27"/>
        <v>0.91618254658182763</v>
      </c>
      <c r="O258" s="1144">
        <f t="shared" si="28"/>
        <v>1.0914855382596904</v>
      </c>
      <c r="P258" s="166"/>
      <c r="Q258" s="1145">
        <f t="shared" si="29"/>
        <v>0.12629301533168555</v>
      </c>
      <c r="R258" s="318"/>
      <c r="S258" s="318"/>
      <c r="T258" s="318"/>
      <c r="U258" s="318"/>
      <c r="V258" s="318"/>
      <c r="W258" s="318"/>
      <c r="X258" s="318"/>
      <c r="Y258" s="318"/>
      <c r="Z258" s="318"/>
      <c r="AA258" s="318"/>
    </row>
    <row r="259" spans="2:27">
      <c r="B259" s="1139">
        <f>B99</f>
        <v>200</v>
      </c>
      <c r="C259" s="1146">
        <f>C99</f>
        <v>50</v>
      </c>
      <c r="D259" s="1147">
        <f>D258*D92</f>
        <v>1190.8723389363777</v>
      </c>
      <c r="E259" s="224" t="s">
        <v>2506</v>
      </c>
      <c r="F259" s="1149">
        <f t="shared" si="22"/>
        <v>22.817446778727554</v>
      </c>
      <c r="G259" s="224" t="s">
        <v>2506</v>
      </c>
      <c r="H259" s="1141">
        <f t="shared" si="23"/>
        <v>4.3826112960731814E-2</v>
      </c>
      <c r="I259" s="879">
        <f t="shared" si="24"/>
        <v>52.19130564803659</v>
      </c>
      <c r="J259" s="1142" t="s">
        <v>2507</v>
      </c>
      <c r="K259" s="225" t="s">
        <v>2497</v>
      </c>
      <c r="L259" s="1149">
        <f t="shared" si="25"/>
        <v>22.817446778727554</v>
      </c>
      <c r="M259" s="879">
        <f t="shared" si="26"/>
        <v>8.7652225921463618</v>
      </c>
      <c r="N259" s="1148">
        <f t="shared" si="27"/>
        <v>0.91779076952877858</v>
      </c>
      <c r="O259" s="1144">
        <f t="shared" si="28"/>
        <v>1.0895729540987105</v>
      </c>
      <c r="P259" s="166"/>
      <c r="Q259" s="1145">
        <f t="shared" si="29"/>
        <v>0.12376279764035969</v>
      </c>
      <c r="R259" s="318"/>
      <c r="S259" s="318"/>
      <c r="T259" s="318"/>
      <c r="U259" s="318"/>
      <c r="V259" s="318"/>
      <c r="W259" s="318"/>
      <c r="X259" s="318"/>
      <c r="Y259" s="318"/>
      <c r="Z259" s="318"/>
      <c r="AA259" s="318"/>
    </row>
    <row r="260" spans="2:27">
      <c r="B260" s="1139">
        <f>B99</f>
        <v>200</v>
      </c>
      <c r="C260" s="1146">
        <f>C99</f>
        <v>50</v>
      </c>
      <c r="D260" s="1147">
        <f>D259*D92</f>
        <v>1214.6897857151052</v>
      </c>
      <c r="E260" s="224" t="s">
        <v>2506</v>
      </c>
      <c r="F260" s="1149">
        <f t="shared" si="22"/>
        <v>23.293795714302107</v>
      </c>
      <c r="G260" s="224" t="s">
        <v>2506</v>
      </c>
      <c r="H260" s="1141">
        <f t="shared" si="23"/>
        <v>4.2929886235157984E-2</v>
      </c>
      <c r="I260" s="879">
        <f t="shared" si="24"/>
        <v>52.146494311757898</v>
      </c>
      <c r="J260" s="1142" t="s">
        <v>2507</v>
      </c>
      <c r="K260" s="225" t="s">
        <v>2497</v>
      </c>
      <c r="L260" s="1149">
        <f t="shared" si="25"/>
        <v>23.293795714302107</v>
      </c>
      <c r="M260" s="879">
        <f t="shared" si="26"/>
        <v>8.5859772470315967</v>
      </c>
      <c r="N260" s="1148">
        <f t="shared" si="27"/>
        <v>0.91936882774655637</v>
      </c>
      <c r="O260" s="1144">
        <f t="shared" si="28"/>
        <v>1.0877027476024794</v>
      </c>
      <c r="P260" s="166"/>
      <c r="Q260" s="1145">
        <f t="shared" si="29"/>
        <v>0.12128434413166919</v>
      </c>
      <c r="R260" s="318"/>
      <c r="S260" s="318"/>
      <c r="T260" s="318"/>
      <c r="U260" s="318"/>
      <c r="V260" s="318"/>
      <c r="W260" s="318"/>
      <c r="X260" s="318"/>
      <c r="Y260" s="318"/>
      <c r="Z260" s="318"/>
      <c r="AA260" s="318"/>
    </row>
    <row r="261" spans="2:27">
      <c r="B261" s="1139">
        <f>B99</f>
        <v>200</v>
      </c>
      <c r="C261" s="1146">
        <f>C99</f>
        <v>50</v>
      </c>
      <c r="D261" s="1147">
        <f>D260*D92</f>
        <v>1238.9835814294074</v>
      </c>
      <c r="E261" s="224" t="s">
        <v>2506</v>
      </c>
      <c r="F261" s="1149">
        <f t="shared" si="22"/>
        <v>23.779671628588147</v>
      </c>
      <c r="G261" s="224" t="s">
        <v>2506</v>
      </c>
      <c r="H261" s="1141">
        <f t="shared" si="23"/>
        <v>4.2052725353776139E-2</v>
      </c>
      <c r="I261" s="879">
        <f t="shared" si="24"/>
        <v>52.102636267688808</v>
      </c>
      <c r="J261" s="1142" t="s">
        <v>2507</v>
      </c>
      <c r="K261" s="225" t="s">
        <v>2497</v>
      </c>
      <c r="L261" s="1149">
        <f t="shared" si="25"/>
        <v>23.779671628588147</v>
      </c>
      <c r="M261" s="879">
        <f t="shared" si="26"/>
        <v>8.4105450707552283</v>
      </c>
      <c r="N261" s="1148">
        <f t="shared" si="27"/>
        <v>0.92091725953839954</v>
      </c>
      <c r="O261" s="1144">
        <f t="shared" si="28"/>
        <v>1.0858738824172325</v>
      </c>
      <c r="P261" s="166"/>
      <c r="Q261" s="1145">
        <f t="shared" si="29"/>
        <v>0.11885655270308454</v>
      </c>
      <c r="R261" s="318"/>
      <c r="S261" s="318"/>
      <c r="T261" s="318"/>
      <c r="U261" s="318"/>
      <c r="V261" s="318"/>
      <c r="W261" s="318"/>
      <c r="X261" s="318"/>
      <c r="Y261" s="318"/>
      <c r="Z261" s="318"/>
      <c r="AA261" s="318"/>
    </row>
    <row r="262" spans="2:27">
      <c r="B262" s="1139">
        <f>B99</f>
        <v>200</v>
      </c>
      <c r="C262" s="1146">
        <f>C99</f>
        <v>50</v>
      </c>
      <c r="D262" s="1147">
        <f>D261*D92</f>
        <v>1263.7632530579956</v>
      </c>
      <c r="E262" s="224" t="s">
        <v>2506</v>
      </c>
      <c r="F262" s="1149">
        <f t="shared" si="22"/>
        <v>24.275265061159914</v>
      </c>
      <c r="G262" s="224" t="s">
        <v>2506</v>
      </c>
      <c r="H262" s="1141">
        <f t="shared" si="23"/>
        <v>4.1194194892643463E-2</v>
      </c>
      <c r="I262" s="879">
        <f t="shared" si="24"/>
        <v>52.059709744632173</v>
      </c>
      <c r="J262" s="1142" t="s">
        <v>2507</v>
      </c>
      <c r="K262" s="225" t="s">
        <v>2497</v>
      </c>
      <c r="L262" s="1149">
        <f t="shared" si="25"/>
        <v>24.275265061159914</v>
      </c>
      <c r="M262" s="879">
        <f t="shared" si="26"/>
        <v>8.2388389785286922</v>
      </c>
      <c r="N262" s="1148">
        <f t="shared" si="27"/>
        <v>0.9224365947169284</v>
      </c>
      <c r="O262" s="1144">
        <f t="shared" si="28"/>
        <v>1.0840853514781401</v>
      </c>
      <c r="P262" s="166"/>
      <c r="Q262" s="1145">
        <f t="shared" si="29"/>
        <v>0.11647834645818828</v>
      </c>
      <c r="R262" s="318"/>
      <c r="S262" s="318"/>
      <c r="T262" s="318"/>
      <c r="U262" s="318"/>
      <c r="V262" s="318"/>
      <c r="W262" s="318"/>
      <c r="X262" s="318"/>
      <c r="Y262" s="318"/>
      <c r="Z262" s="318"/>
      <c r="AA262" s="318"/>
    </row>
    <row r="263" spans="2:27">
      <c r="B263" s="1139">
        <f>B99</f>
        <v>200</v>
      </c>
      <c r="C263" s="1146">
        <f>C99</f>
        <v>50</v>
      </c>
      <c r="D263" s="1147">
        <f>D262*D92</f>
        <v>1289.0385181191555</v>
      </c>
      <c r="E263" s="224" t="s">
        <v>2506</v>
      </c>
      <c r="F263" s="1149">
        <f t="shared" si="22"/>
        <v>24.780770362383109</v>
      </c>
      <c r="G263" s="224" t="s">
        <v>2506</v>
      </c>
      <c r="H263" s="1141">
        <f t="shared" si="23"/>
        <v>4.0353870576920692E-2</v>
      </c>
      <c r="I263" s="879">
        <f t="shared" si="24"/>
        <v>52.017693528846031</v>
      </c>
      <c r="J263" s="1142" t="s">
        <v>2507</v>
      </c>
      <c r="K263" s="225" t="s">
        <v>2497</v>
      </c>
      <c r="L263" s="1149">
        <f t="shared" si="25"/>
        <v>24.780770362383112</v>
      </c>
      <c r="M263" s="879">
        <f t="shared" si="26"/>
        <v>8.0707741153841379</v>
      </c>
      <c r="N263" s="1148">
        <f t="shared" si="27"/>
        <v>0.92392735469046594</v>
      </c>
      <c r="O263" s="1144">
        <f t="shared" si="28"/>
        <v>1.0823361760243801</v>
      </c>
      <c r="P263" s="166"/>
      <c r="Q263" s="1145">
        <f t="shared" si="29"/>
        <v>0.11414867305981161</v>
      </c>
      <c r="R263" s="318"/>
      <c r="S263" s="318"/>
      <c r="T263" s="318"/>
      <c r="U263" s="318"/>
      <c r="V263" s="318"/>
      <c r="W263" s="318"/>
      <c r="X263" s="318"/>
      <c r="Y263" s="318"/>
      <c r="Z263" s="318"/>
      <c r="AA263" s="318"/>
    </row>
    <row r="264" spans="2:27">
      <c r="B264" s="1139">
        <f>B99</f>
        <v>200</v>
      </c>
      <c r="C264" s="1146">
        <f>C99</f>
        <v>50</v>
      </c>
      <c r="D264" s="1147">
        <f>D263*D92</f>
        <v>1314.8192884815387</v>
      </c>
      <c r="E264" s="224" t="s">
        <v>2506</v>
      </c>
      <c r="F264" s="1149">
        <f t="shared" si="22"/>
        <v>25.296385769630774</v>
      </c>
      <c r="G264" s="224" t="s">
        <v>2506</v>
      </c>
      <c r="H264" s="1141">
        <f t="shared" si="23"/>
        <v>3.9531338947263218E-2</v>
      </c>
      <c r="I264" s="879">
        <f t="shared" si="24"/>
        <v>51.97656694736316</v>
      </c>
      <c r="J264" s="1142" t="s">
        <v>2507</v>
      </c>
      <c r="K264" s="225" t="s">
        <v>2497</v>
      </c>
      <c r="L264" s="1149">
        <f t="shared" si="25"/>
        <v>25.296385769630774</v>
      </c>
      <c r="M264" s="879">
        <f t="shared" si="26"/>
        <v>7.9062677894526434</v>
      </c>
      <c r="N264" s="1148">
        <f t="shared" si="27"/>
        <v>0.92539005255077944</v>
      </c>
      <c r="O264" s="1144">
        <f t="shared" si="28"/>
        <v>1.0806254046534896</v>
      </c>
      <c r="P264" s="166"/>
      <c r="Q264" s="1145">
        <f t="shared" si="29"/>
        <v>0.11186650410258157</v>
      </c>
      <c r="R264" s="318"/>
      <c r="S264" s="318"/>
      <c r="T264" s="318"/>
      <c r="U264" s="318"/>
      <c r="V264" s="318"/>
      <c r="W264" s="318"/>
      <c r="X264" s="318"/>
      <c r="Y264" s="318"/>
      <c r="Z264" s="318"/>
      <c r="AA264" s="318"/>
    </row>
    <row r="265" spans="2:27">
      <c r="B265" s="1139">
        <f>B99</f>
        <v>200</v>
      </c>
      <c r="C265" s="1146">
        <f>C99</f>
        <v>50</v>
      </c>
      <c r="D265" s="1147">
        <f>D264*D92</f>
        <v>1341.1156742511696</v>
      </c>
      <c r="E265" s="224" t="s">
        <v>2506</v>
      </c>
      <c r="F265" s="1149">
        <f t="shared" si="22"/>
        <v>25.822313485023393</v>
      </c>
      <c r="G265" s="224" t="s">
        <v>2506</v>
      </c>
      <c r="H265" s="1141">
        <f t="shared" si="23"/>
        <v>3.8726197038076664E-2</v>
      </c>
      <c r="I265" s="879">
        <f t="shared" si="24"/>
        <v>51.936309851903836</v>
      </c>
      <c r="J265" s="1142" t="s">
        <v>2507</v>
      </c>
      <c r="K265" s="225" t="s">
        <v>2497</v>
      </c>
      <c r="L265" s="1149">
        <f t="shared" si="25"/>
        <v>25.82231348502339</v>
      </c>
      <c r="M265" s="879">
        <f t="shared" si="26"/>
        <v>7.7452394076153332</v>
      </c>
      <c r="N265" s="1148">
        <f t="shared" si="27"/>
        <v>0.92682519316209389</v>
      </c>
      <c r="O265" s="1144">
        <f t="shared" si="28"/>
        <v>1.0789521124131856</v>
      </c>
      <c r="P265" s="166"/>
      <c r="Q265" s="1145">
        <f t="shared" si="29"/>
        <v>0.10963083450418987</v>
      </c>
      <c r="R265" s="318"/>
      <c r="S265" s="318"/>
      <c r="T265" s="318"/>
      <c r="U265" s="318"/>
      <c r="V265" s="318"/>
      <c r="W265" s="318"/>
      <c r="X265" s="318"/>
      <c r="Y265" s="318"/>
      <c r="Z265" s="318"/>
      <c r="AA265" s="318"/>
    </row>
    <row r="266" spans="2:27">
      <c r="B266" s="1139">
        <f>B99</f>
        <v>200</v>
      </c>
      <c r="C266" s="1146">
        <f>C99</f>
        <v>50</v>
      </c>
      <c r="D266" s="1147">
        <f>D265*D92</f>
        <v>1367.937987736193</v>
      </c>
      <c r="E266" s="224" t="s">
        <v>2506</v>
      </c>
      <c r="F266" s="1149">
        <f t="shared" si="22"/>
        <v>26.358759754723859</v>
      </c>
      <c r="G266" s="224" t="s">
        <v>2506</v>
      </c>
      <c r="H266" s="1141">
        <f t="shared" si="23"/>
        <v>3.7938052067141965E-2</v>
      </c>
      <c r="I266" s="879">
        <f t="shared" si="24"/>
        <v>51.896902603357098</v>
      </c>
      <c r="J266" s="1142" t="s">
        <v>2507</v>
      </c>
      <c r="K266" s="225" t="s">
        <v>2497</v>
      </c>
      <c r="L266" s="1149">
        <f t="shared" si="25"/>
        <v>26.358759754723859</v>
      </c>
      <c r="M266" s="879">
        <f t="shared" si="26"/>
        <v>7.5876104134283935</v>
      </c>
      <c r="N266" s="1148">
        <f t="shared" si="27"/>
        <v>0.92823327325123794</v>
      </c>
      <c r="O266" s="1144">
        <f t="shared" si="28"/>
        <v>1.0773153999289331</v>
      </c>
      <c r="P266" s="166"/>
      <c r="Q266" s="1145">
        <f t="shared" si="29"/>
        <v>0.10744068191471381</v>
      </c>
      <c r="R266" s="318"/>
      <c r="S266" s="318"/>
      <c r="T266" s="318"/>
      <c r="U266" s="318"/>
      <c r="V266" s="318"/>
      <c r="W266" s="318"/>
      <c r="X266" s="318"/>
      <c r="Y266" s="318"/>
      <c r="Z266" s="318"/>
      <c r="AA266" s="318"/>
    </row>
    <row r="267" spans="2:27">
      <c r="B267" s="1139">
        <f>B99</f>
        <v>200</v>
      </c>
      <c r="C267" s="1146">
        <f>C99</f>
        <v>50</v>
      </c>
      <c r="D267" s="1147">
        <f>D266*D92</f>
        <v>1395.2967474909169</v>
      </c>
      <c r="E267" s="224" t="s">
        <v>2506</v>
      </c>
      <c r="F267" s="1149">
        <f t="shared" si="22"/>
        <v>26.905934949818338</v>
      </c>
      <c r="G267" s="224" t="s">
        <v>2506</v>
      </c>
      <c r="H267" s="1141">
        <f t="shared" si="23"/>
        <v>3.7166521136138844E-2</v>
      </c>
      <c r="I267" s="879">
        <f t="shared" si="24"/>
        <v>51.858326056806945</v>
      </c>
      <c r="J267" s="1142" t="s">
        <v>2507</v>
      </c>
      <c r="K267" s="225" t="s">
        <v>2497</v>
      </c>
      <c r="L267" s="1149">
        <f t="shared" si="25"/>
        <v>26.905934949818338</v>
      </c>
      <c r="M267" s="879">
        <f t="shared" si="26"/>
        <v>7.4333042272277687</v>
      </c>
      <c r="N267" s="1148">
        <f t="shared" si="27"/>
        <v>0.92961478149877896</v>
      </c>
      <c r="O267" s="1144">
        <f t="shared" si="28"/>
        <v>1.0757143925656409</v>
      </c>
      <c r="P267" s="166"/>
      <c r="Q267" s="1145">
        <f t="shared" si="29"/>
        <v>0.10529508614336942</v>
      </c>
      <c r="R267" s="318"/>
      <c r="S267" s="318"/>
      <c r="T267" s="318"/>
      <c r="U267" s="318"/>
      <c r="V267" s="318"/>
      <c r="W267" s="318"/>
      <c r="X267" s="318"/>
      <c r="Y267" s="318"/>
      <c r="Z267" s="318"/>
      <c r="AA267" s="318"/>
    </row>
    <row r="268" spans="2:27">
      <c r="B268" s="1139">
        <f>B99</f>
        <v>200</v>
      </c>
      <c r="C268" s="1146">
        <f>C99</f>
        <v>50</v>
      </c>
      <c r="D268" s="1147">
        <f>D267*D92</f>
        <v>1423.2026824407353</v>
      </c>
      <c r="E268" s="224" t="s">
        <v>2506</v>
      </c>
      <c r="F268" s="1149">
        <f t="shared" si="22"/>
        <v>27.464053648814705</v>
      </c>
      <c r="G268" s="224" t="s">
        <v>2506</v>
      </c>
      <c r="H268" s="1141">
        <f t="shared" si="23"/>
        <v>3.6411230941618772E-2</v>
      </c>
      <c r="I268" s="879">
        <f t="shared" si="24"/>
        <v>51.820561547080942</v>
      </c>
      <c r="J268" s="1142" t="s">
        <v>2507</v>
      </c>
      <c r="K268" s="225" t="s">
        <v>2497</v>
      </c>
      <c r="L268" s="1149">
        <f t="shared" si="25"/>
        <v>27.464053648814705</v>
      </c>
      <c r="M268" s="879">
        <f t="shared" si="26"/>
        <v>7.2822461883237555</v>
      </c>
      <c r="N268" s="1148">
        <f t="shared" si="27"/>
        <v>0.93097019863103769</v>
      </c>
      <c r="O268" s="1144">
        <f t="shared" si="28"/>
        <v>1.0741482396219217</v>
      </c>
      <c r="P268" s="166"/>
      <c r="Q268" s="1145">
        <f t="shared" si="29"/>
        <v>0.10319310860206152</v>
      </c>
      <c r="R268" s="318"/>
      <c r="S268" s="318"/>
      <c r="T268" s="318"/>
      <c r="U268" s="318"/>
      <c r="V268" s="318"/>
      <c r="W268" s="318"/>
      <c r="X268" s="318"/>
      <c r="Y268" s="318"/>
      <c r="Z268" s="318"/>
      <c r="AA268" s="318"/>
    </row>
  </sheetData>
  <mergeCells count="3">
    <mergeCell ref="E94:F98"/>
    <mergeCell ref="G94:H98"/>
    <mergeCell ref="P94:P98"/>
  </mergeCells>
  <pageMargins left="0.78740157499999996" right="0.78740157499999996" top="0.984251969" bottom="0.984251969" header="0.4921259845" footer="0.492125984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AW65"/>
  <sheetViews>
    <sheetView workbookViewId="0">
      <selection activeCell="W24" sqref="W24"/>
    </sheetView>
  </sheetViews>
  <sheetFormatPr baseColWidth="10" defaultRowHeight="12.75"/>
  <cols>
    <col min="1" max="1" width="32.42578125" customWidth="1"/>
    <col min="2" max="20" width="8.7109375" customWidth="1"/>
    <col min="21" max="21" width="17.85546875" style="8" customWidth="1"/>
    <col min="22" max="22" width="16" style="8" customWidth="1"/>
    <col min="23" max="23" width="11.42578125" style="8"/>
    <col min="24" max="49" width="11.42578125" style="374"/>
  </cols>
  <sheetData>
    <row r="1" spans="1:49" s="1" customFormat="1">
      <c r="A1" s="376" t="s">
        <v>2553</v>
      </c>
      <c r="B1" s="376"/>
      <c r="C1" s="376"/>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s="1" customFormat="1">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 customFormat="1">
      <c r="A3" s="2" t="s">
        <v>1055</v>
      </c>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1:49" s="1" customFormat="1">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49" s="1" customFormat="1">
      <c r="A5" s="2" t="s">
        <v>2554</v>
      </c>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row>
    <row r="6" spans="1:49" s="1" customFormat="1">
      <c r="A6" s="2" t="s">
        <v>2555</v>
      </c>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row>
    <row r="7" spans="1:49" s="1" customFormat="1">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s="1" customFormat="1">
      <c r="A8" s="2" t="s">
        <v>2556</v>
      </c>
      <c r="B8" s="292"/>
      <c r="C8" s="292"/>
      <c r="D8" s="292"/>
      <c r="E8" s="292"/>
      <c r="F8" s="292"/>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49" s="1" customFormat="1">
      <c r="B9" s="292"/>
      <c r="C9" s="292"/>
      <c r="D9" s="292"/>
      <c r="E9" s="292"/>
      <c r="F9" s="292"/>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49">
      <c r="A10" t="s">
        <v>2557</v>
      </c>
      <c r="B10" s="906">
        <v>1</v>
      </c>
      <c r="C10" s="907">
        <f t="shared" ref="C10:T10" si="0">B10/2</f>
        <v>0.5</v>
      </c>
      <c r="D10" s="907">
        <f t="shared" si="0"/>
        <v>0.25</v>
      </c>
      <c r="E10" s="907">
        <f t="shared" si="0"/>
        <v>0.125</v>
      </c>
      <c r="F10" s="907">
        <f t="shared" si="0"/>
        <v>6.25E-2</v>
      </c>
      <c r="G10" s="907">
        <f t="shared" si="0"/>
        <v>3.125E-2</v>
      </c>
      <c r="H10" s="907">
        <f t="shared" si="0"/>
        <v>1.5625E-2</v>
      </c>
      <c r="I10" s="907">
        <f t="shared" si="0"/>
        <v>7.8125E-3</v>
      </c>
      <c r="J10" s="907">
        <f t="shared" si="0"/>
        <v>3.90625E-3</v>
      </c>
      <c r="K10" s="907">
        <f t="shared" si="0"/>
        <v>1.953125E-3</v>
      </c>
      <c r="L10" s="907">
        <f t="shared" si="0"/>
        <v>9.765625E-4</v>
      </c>
      <c r="M10" s="907">
        <f t="shared" si="0"/>
        <v>4.8828125E-4</v>
      </c>
      <c r="N10" s="907">
        <f t="shared" si="0"/>
        <v>2.44140625E-4</v>
      </c>
      <c r="O10" s="907">
        <f t="shared" si="0"/>
        <v>1.220703125E-4</v>
      </c>
      <c r="P10" s="907">
        <f t="shared" si="0"/>
        <v>6.103515625E-5</v>
      </c>
      <c r="Q10" s="907">
        <f t="shared" si="0"/>
        <v>3.0517578125E-5</v>
      </c>
      <c r="R10" s="907">
        <f t="shared" si="0"/>
        <v>1.52587890625E-5</v>
      </c>
      <c r="S10" s="907">
        <f t="shared" si="0"/>
        <v>7.62939453125E-6</v>
      </c>
      <c r="T10" s="907">
        <f t="shared" si="0"/>
        <v>3.814697265625E-6</v>
      </c>
      <c r="U10" s="723"/>
      <c r="V10" s="723"/>
      <c r="W10" s="723"/>
    </row>
    <row r="11" spans="1:49">
      <c r="A11" t="s">
        <v>2558</v>
      </c>
      <c r="B11" s="908" t="str">
        <f t="shared" ref="B11:T11" si="1">"1 : "&amp;1/B10</f>
        <v>1 : 1</v>
      </c>
      <c r="C11" s="908" t="str">
        <f t="shared" si="1"/>
        <v>1 : 2</v>
      </c>
      <c r="D11" s="908" t="str">
        <f t="shared" si="1"/>
        <v>1 : 4</v>
      </c>
      <c r="E11" s="908" t="str">
        <f t="shared" si="1"/>
        <v>1 : 8</v>
      </c>
      <c r="F11" s="908" t="str">
        <f t="shared" si="1"/>
        <v>1 : 16</v>
      </c>
      <c r="G11" s="908" t="str">
        <f t="shared" si="1"/>
        <v>1 : 32</v>
      </c>
      <c r="H11" s="908" t="str">
        <f t="shared" si="1"/>
        <v>1 : 64</v>
      </c>
      <c r="I11" s="908" t="str">
        <f t="shared" si="1"/>
        <v>1 : 128</v>
      </c>
      <c r="J11" s="908" t="str">
        <f t="shared" si="1"/>
        <v>1 : 256</v>
      </c>
      <c r="K11" s="908" t="str">
        <f t="shared" si="1"/>
        <v>1 : 512</v>
      </c>
      <c r="L11" s="908" t="str">
        <f t="shared" si="1"/>
        <v>1 : 1024</v>
      </c>
      <c r="M11" s="908" t="str">
        <f t="shared" si="1"/>
        <v>1 : 2048</v>
      </c>
      <c r="N11" s="908" t="str">
        <f t="shared" si="1"/>
        <v>1 : 4096</v>
      </c>
      <c r="O11" s="908" t="str">
        <f t="shared" si="1"/>
        <v>1 : 8192</v>
      </c>
      <c r="P11" s="908" t="str">
        <f t="shared" si="1"/>
        <v>1 : 16384</v>
      </c>
      <c r="Q11" s="908" t="str">
        <f t="shared" si="1"/>
        <v>1 : 32768</v>
      </c>
      <c r="R11" s="908" t="str">
        <f t="shared" si="1"/>
        <v>1 : 65536</v>
      </c>
      <c r="S11" s="908" t="str">
        <f t="shared" si="1"/>
        <v>1 : 131072</v>
      </c>
      <c r="T11" s="908" t="str">
        <f t="shared" si="1"/>
        <v>1 : 262144</v>
      </c>
    </row>
    <row r="12" spans="1:49">
      <c r="U12" s="909"/>
      <c r="V12" s="910"/>
      <c r="W12" s="910"/>
    </row>
    <row r="13" spans="1:49">
      <c r="A13" t="s">
        <v>2559</v>
      </c>
      <c r="B13" s="813">
        <v>3000</v>
      </c>
      <c r="C13" s="216">
        <f t="shared" ref="C13:T13" si="2">B13</f>
        <v>3000</v>
      </c>
      <c r="D13" s="216">
        <f t="shared" si="2"/>
        <v>3000</v>
      </c>
      <c r="E13" s="216">
        <f t="shared" si="2"/>
        <v>3000</v>
      </c>
      <c r="F13" s="216">
        <f t="shared" si="2"/>
        <v>3000</v>
      </c>
      <c r="G13" s="216">
        <f t="shared" si="2"/>
        <v>3000</v>
      </c>
      <c r="H13" s="216">
        <f t="shared" si="2"/>
        <v>3000</v>
      </c>
      <c r="I13" s="216">
        <f t="shared" si="2"/>
        <v>3000</v>
      </c>
      <c r="J13" s="216">
        <f t="shared" si="2"/>
        <v>3000</v>
      </c>
      <c r="K13" s="216">
        <f t="shared" si="2"/>
        <v>3000</v>
      </c>
      <c r="L13" s="216">
        <f t="shared" si="2"/>
        <v>3000</v>
      </c>
      <c r="M13" s="216">
        <f t="shared" si="2"/>
        <v>3000</v>
      </c>
      <c r="N13" s="216">
        <f t="shared" si="2"/>
        <v>3000</v>
      </c>
      <c r="O13" s="216">
        <f t="shared" si="2"/>
        <v>3000</v>
      </c>
      <c r="P13" s="216">
        <f t="shared" si="2"/>
        <v>3000</v>
      </c>
      <c r="Q13" s="216">
        <f t="shared" si="2"/>
        <v>3000</v>
      </c>
      <c r="R13" s="216">
        <f t="shared" si="2"/>
        <v>3000</v>
      </c>
      <c r="S13" s="216">
        <f t="shared" si="2"/>
        <v>3000</v>
      </c>
      <c r="T13" s="216">
        <f t="shared" si="2"/>
        <v>3000</v>
      </c>
      <c r="U13" s="909"/>
      <c r="V13" s="909"/>
      <c r="W13" s="909"/>
    </row>
    <row r="14" spans="1:49">
      <c r="U14" s="909"/>
      <c r="V14" s="909"/>
      <c r="W14" s="909"/>
    </row>
    <row r="15" spans="1:49">
      <c r="A15" t="s">
        <v>1327</v>
      </c>
      <c r="B15" s="771">
        <f t="shared" ref="B15:T15" si="3">B13/(1/B10)</f>
        <v>3000</v>
      </c>
      <c r="C15" s="771">
        <f t="shared" si="3"/>
        <v>1500</v>
      </c>
      <c r="D15" s="771">
        <f t="shared" si="3"/>
        <v>750</v>
      </c>
      <c r="E15" s="771">
        <f t="shared" si="3"/>
        <v>375</v>
      </c>
      <c r="F15" s="771">
        <f t="shared" si="3"/>
        <v>187.5</v>
      </c>
      <c r="G15" s="771">
        <f t="shared" si="3"/>
        <v>93.75</v>
      </c>
      <c r="H15" s="771">
        <f t="shared" si="3"/>
        <v>46.875</v>
      </c>
      <c r="I15" s="32">
        <f t="shared" si="3"/>
        <v>23.4375</v>
      </c>
      <c r="J15" s="32">
        <f t="shared" si="3"/>
        <v>11.71875</v>
      </c>
      <c r="K15" s="32">
        <f t="shared" si="3"/>
        <v>5.859375</v>
      </c>
      <c r="L15" s="32">
        <f t="shared" si="3"/>
        <v>2.9296875</v>
      </c>
      <c r="M15" s="32">
        <f t="shared" si="3"/>
        <v>1.46484375</v>
      </c>
      <c r="N15" s="32">
        <f t="shared" si="3"/>
        <v>0.732421875</v>
      </c>
      <c r="O15" s="32">
        <f t="shared" si="3"/>
        <v>0.3662109375</v>
      </c>
      <c r="P15" s="32">
        <f t="shared" si="3"/>
        <v>0.18310546875</v>
      </c>
      <c r="Q15" s="32">
        <f t="shared" si="3"/>
        <v>9.1552734375E-2</v>
      </c>
      <c r="R15" s="32">
        <f t="shared" si="3"/>
        <v>4.57763671875E-2</v>
      </c>
      <c r="S15" s="32">
        <f t="shared" si="3"/>
        <v>2.288818359375E-2</v>
      </c>
      <c r="T15" s="32">
        <f t="shared" si="3"/>
        <v>1.1444091796875E-2</v>
      </c>
      <c r="U15" s="179"/>
      <c r="V15" s="179"/>
      <c r="W15" s="179"/>
    </row>
    <row r="16" spans="1:49">
      <c r="A16" s="315" t="s">
        <v>2560</v>
      </c>
      <c r="C16" s="911">
        <f>C15/B15</f>
        <v>0.5</v>
      </c>
      <c r="D16" s="911">
        <f t="shared" ref="D16:T16" si="4">D15/C15</f>
        <v>0.5</v>
      </c>
      <c r="E16" s="911">
        <f t="shared" si="4"/>
        <v>0.5</v>
      </c>
      <c r="F16" s="911">
        <f t="shared" si="4"/>
        <v>0.5</v>
      </c>
      <c r="G16" s="911">
        <f t="shared" si="4"/>
        <v>0.5</v>
      </c>
      <c r="H16" s="911">
        <f t="shared" si="4"/>
        <v>0.5</v>
      </c>
      <c r="I16" s="911">
        <f t="shared" si="4"/>
        <v>0.5</v>
      </c>
      <c r="J16" s="911">
        <f t="shared" si="4"/>
        <v>0.5</v>
      </c>
      <c r="K16" s="911">
        <f t="shared" si="4"/>
        <v>0.5</v>
      </c>
      <c r="L16" s="911">
        <f t="shared" si="4"/>
        <v>0.5</v>
      </c>
      <c r="M16" s="911">
        <f t="shared" si="4"/>
        <v>0.5</v>
      </c>
      <c r="N16" s="911">
        <f t="shared" si="4"/>
        <v>0.5</v>
      </c>
      <c r="O16" s="911">
        <f t="shared" si="4"/>
        <v>0.5</v>
      </c>
      <c r="P16" s="911">
        <f t="shared" si="4"/>
        <v>0.5</v>
      </c>
      <c r="Q16" s="911">
        <f t="shared" si="4"/>
        <v>0.5</v>
      </c>
      <c r="R16" s="911">
        <f t="shared" si="4"/>
        <v>0.5</v>
      </c>
      <c r="S16" s="911">
        <f t="shared" si="4"/>
        <v>0.5</v>
      </c>
      <c r="T16" s="911">
        <f t="shared" si="4"/>
        <v>0.5</v>
      </c>
    </row>
    <row r="17" spans="1:49">
      <c r="A17" s="315"/>
    </row>
    <row r="18" spans="1:49">
      <c r="A18" t="s">
        <v>1658</v>
      </c>
      <c r="B18" s="771">
        <f t="shared" ref="B18:T18" si="5">B13/(1+1/B10)</f>
        <v>1500</v>
      </c>
      <c r="C18" s="771">
        <f t="shared" si="5"/>
        <v>1000</v>
      </c>
      <c r="D18" s="771">
        <f t="shared" si="5"/>
        <v>600</v>
      </c>
      <c r="E18" s="771">
        <f t="shared" si="5"/>
        <v>333.33333333333331</v>
      </c>
      <c r="F18" s="771">
        <f t="shared" si="5"/>
        <v>176.47058823529412</v>
      </c>
      <c r="G18" s="771">
        <f t="shared" si="5"/>
        <v>90.909090909090907</v>
      </c>
      <c r="H18" s="771">
        <f t="shared" si="5"/>
        <v>46.153846153846153</v>
      </c>
      <c r="I18" s="771">
        <f t="shared" si="5"/>
        <v>23.255813953488371</v>
      </c>
      <c r="J18" s="771">
        <f t="shared" si="5"/>
        <v>11.673151750972762</v>
      </c>
      <c r="K18" s="771">
        <f t="shared" si="5"/>
        <v>5.8479532163742691</v>
      </c>
      <c r="L18" s="771">
        <f t="shared" si="5"/>
        <v>2.9268292682926829</v>
      </c>
      <c r="M18" s="771">
        <f t="shared" si="5"/>
        <v>1.4641288433382138</v>
      </c>
      <c r="N18" s="771">
        <f t="shared" si="5"/>
        <v>0.73224310471076393</v>
      </c>
      <c r="O18" s="771">
        <f t="shared" si="5"/>
        <v>0.36616623947272059</v>
      </c>
      <c r="P18" s="771">
        <f t="shared" si="5"/>
        <v>0.18309429356118401</v>
      </c>
      <c r="Q18" s="771">
        <f t="shared" si="5"/>
        <v>9.1549940492538687E-2</v>
      </c>
      <c r="R18" s="771">
        <f t="shared" si="5"/>
        <v>4.577566870622702E-2</v>
      </c>
      <c r="S18" s="771">
        <f t="shared" si="5"/>
        <v>2.2888008972099517E-2</v>
      </c>
      <c r="T18" s="771">
        <f t="shared" si="5"/>
        <v>1.1444048141295848E-2</v>
      </c>
    </row>
    <row r="19" spans="1:49">
      <c r="A19" t="s">
        <v>2561</v>
      </c>
      <c r="C19" s="911">
        <f t="shared" ref="C19:T19" si="6">C18/B18</f>
        <v>0.66666666666666663</v>
      </c>
      <c r="D19" s="911">
        <f t="shared" si="6"/>
        <v>0.6</v>
      </c>
      <c r="E19" s="911">
        <f t="shared" si="6"/>
        <v>0.55555555555555547</v>
      </c>
      <c r="F19" s="911">
        <f t="shared" si="6"/>
        <v>0.52941176470588236</v>
      </c>
      <c r="G19" s="911">
        <f t="shared" si="6"/>
        <v>0.51515151515151514</v>
      </c>
      <c r="H19" s="911">
        <f t="shared" si="6"/>
        <v>0.50769230769230766</v>
      </c>
      <c r="I19" s="911">
        <f t="shared" si="6"/>
        <v>0.50387596899224807</v>
      </c>
      <c r="J19" s="911">
        <f t="shared" si="6"/>
        <v>0.50194552529182879</v>
      </c>
      <c r="K19" s="911">
        <f t="shared" si="6"/>
        <v>0.50097465886939574</v>
      </c>
      <c r="L19" s="911">
        <f t="shared" si="6"/>
        <v>0.50048780487804878</v>
      </c>
      <c r="M19" s="911">
        <f t="shared" si="6"/>
        <v>0.50024402147388969</v>
      </c>
      <c r="N19" s="911">
        <f t="shared" si="6"/>
        <v>0.50012204051745179</v>
      </c>
      <c r="O19" s="911">
        <f t="shared" si="6"/>
        <v>0.50006102770657879</v>
      </c>
      <c r="P19" s="911">
        <f t="shared" si="6"/>
        <v>0.50003051571559354</v>
      </c>
      <c r="Q19" s="911">
        <f t="shared" si="6"/>
        <v>0.50001525832341542</v>
      </c>
      <c r="R19" s="911">
        <f t="shared" si="6"/>
        <v>0.5000076292781177</v>
      </c>
      <c r="S19" s="911">
        <f t="shared" si="6"/>
        <v>0.50000381466816202</v>
      </c>
      <c r="T19" s="911">
        <f t="shared" si="6"/>
        <v>0.50000190734135697</v>
      </c>
      <c r="U19" s="912"/>
      <c r="V19" s="913"/>
      <c r="W19" s="914"/>
    </row>
    <row r="20" spans="1:49">
      <c r="A20" t="s">
        <v>2562</v>
      </c>
      <c r="B20" s="32"/>
      <c r="C20" s="915">
        <f t="shared" ref="C20:T20" si="7">B18/C18</f>
        <v>1.5</v>
      </c>
      <c r="D20" s="915">
        <f t="shared" si="7"/>
        <v>1.6666666666666667</v>
      </c>
      <c r="E20" s="915">
        <f t="shared" si="7"/>
        <v>1.8</v>
      </c>
      <c r="F20" s="915">
        <f t="shared" si="7"/>
        <v>1.8888888888888888</v>
      </c>
      <c r="G20" s="915">
        <f t="shared" si="7"/>
        <v>1.9411764705882353</v>
      </c>
      <c r="H20" s="915">
        <f t="shared" si="7"/>
        <v>1.9696969696969697</v>
      </c>
      <c r="I20" s="915">
        <f t="shared" si="7"/>
        <v>1.9846153846153847</v>
      </c>
      <c r="J20" s="915">
        <f t="shared" si="7"/>
        <v>1.9922480620155039</v>
      </c>
      <c r="K20" s="915">
        <f t="shared" si="7"/>
        <v>1.9961089494163422</v>
      </c>
      <c r="L20" s="915">
        <f t="shared" si="7"/>
        <v>1.9980506822612087</v>
      </c>
      <c r="M20" s="915">
        <f t="shared" si="7"/>
        <v>1.9990243902439024</v>
      </c>
      <c r="N20" s="915">
        <f t="shared" si="7"/>
        <v>1.9995119570522208</v>
      </c>
      <c r="O20" s="915">
        <f t="shared" si="7"/>
        <v>1.9997559189650964</v>
      </c>
      <c r="P20" s="915">
        <f t="shared" si="7"/>
        <v>1.9998779445868422</v>
      </c>
      <c r="Q20" s="915">
        <f t="shared" si="7"/>
        <v>1.9999389685688127</v>
      </c>
      <c r="R20" s="915">
        <f t="shared" si="7"/>
        <v>1.9999694833531692</v>
      </c>
      <c r="S20" s="915">
        <f t="shared" si="7"/>
        <v>1.9999847414437648</v>
      </c>
      <c r="T20" s="915">
        <f t="shared" si="7"/>
        <v>1.9999923706636757</v>
      </c>
    </row>
    <row r="21" spans="1:49" s="1" customFormat="1">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s="1" customFormat="1">
      <c r="A22" s="2" t="s">
        <v>160</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row>
    <row r="23" spans="1:49" s="1" customFormat="1">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row>
    <row r="24" spans="1:49" s="1" customFormat="1">
      <c r="A24" s="1" t="s">
        <v>2563</v>
      </c>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row>
    <row r="25" spans="1:49" s="1" customFormat="1">
      <c r="A25" s="1" t="s">
        <v>2564</v>
      </c>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row>
    <row r="26" spans="1:49" s="1" customFormat="1">
      <c r="A26" s="2" t="s">
        <v>2565</v>
      </c>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row>
    <row r="27" spans="1:49" s="1" customFormat="1">
      <c r="A27" s="3" t="s">
        <v>2566</v>
      </c>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row>
    <row r="28" spans="1:49" s="1" customFormat="1">
      <c r="A28" s="3" t="s">
        <v>2567</v>
      </c>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row>
    <row r="29" spans="1:49" s="1" customFormat="1">
      <c r="A29" s="3" t="s">
        <v>2568</v>
      </c>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row>
    <row r="30" spans="1:49" s="1" customFormat="1">
      <c r="A30" s="3" t="s">
        <v>2569</v>
      </c>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row>
    <row r="31" spans="1:49" s="1" customFormat="1">
      <c r="A31" s="3" t="s">
        <v>2570</v>
      </c>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row>
    <row r="32" spans="1:49" s="1" customFormat="1">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row>
    <row r="33" spans="21:49" s="1" customFormat="1">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row>
    <row r="34" spans="21:49" s="1" customFormat="1">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row>
    <row r="35" spans="21:49" s="1" customFormat="1">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row>
    <row r="36" spans="21:49" s="1" customFormat="1">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row>
    <row r="37" spans="21:49" s="1" customFormat="1">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row>
    <row r="38" spans="21:49" s="1" customFormat="1">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row>
    <row r="39" spans="21:49" s="1" customFormat="1">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row>
    <row r="40" spans="21:49" s="1" customFormat="1">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row>
    <row r="41" spans="21:49" s="1" customFormat="1">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row>
    <row r="42" spans="21:49" s="1" customFormat="1">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21:49" s="1" customFormat="1">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row>
    <row r="44" spans="21:49" s="1" customFormat="1">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row>
    <row r="45" spans="21:49" s="1" customFormat="1">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row>
    <row r="46" spans="21:49" s="1" customFormat="1">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row>
    <row r="47" spans="21:49" s="1" customFormat="1">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row>
    <row r="48" spans="21:49" s="1" customFormat="1">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row>
    <row r="49" spans="21:49" s="1" customFormat="1">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row>
    <row r="50" spans="21:49" s="1" customFormat="1">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row>
    <row r="51" spans="21:49" s="1" customFormat="1">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row>
    <row r="52" spans="21:49" s="1" customFormat="1">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row>
    <row r="53" spans="21:49" s="1" customFormat="1">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row>
    <row r="54" spans="21:49" s="1" customFormat="1">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row>
    <row r="55" spans="21:49" s="1" customFormat="1">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row>
    <row r="56" spans="21:49" s="1" customFormat="1">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row>
    <row r="57" spans="21:49" s="1" customFormat="1">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row>
    <row r="58" spans="21:49" s="1" customFormat="1">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row>
    <row r="59" spans="21:49" s="1" customFormat="1">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row>
    <row r="60" spans="21:49" s="1" customFormat="1">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row>
    <row r="61" spans="21:49" s="1" customFormat="1">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row>
    <row r="62" spans="21:49" s="1" customFormat="1">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row>
    <row r="63" spans="21:49" s="1" customFormat="1">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row>
    <row r="64" spans="21:49" s="1" customFormat="1">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row>
    <row r="65" spans="21:49" s="1" customFormat="1">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row>
  </sheetData>
  <pageMargins left="0.78740157499999996" right="0.78740157499999996" top="0.984251969" bottom="0.984251969" header="0.4921259845" footer="0.4921259845"/>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6"/>
  <dimension ref="A1:BF411"/>
  <sheetViews>
    <sheetView topLeftCell="A16" zoomScale="90" zoomScaleNormal="90" workbookViewId="0">
      <selection activeCell="N14" sqref="N14"/>
    </sheetView>
  </sheetViews>
  <sheetFormatPr baseColWidth="10" defaultRowHeight="12.75"/>
  <cols>
    <col min="1" max="1" width="8.7109375" customWidth="1"/>
    <col min="2" max="2" width="31.5703125" customWidth="1"/>
    <col min="3" max="3" width="29.5703125" customWidth="1"/>
    <col min="4" max="5" width="14.5703125" customWidth="1"/>
    <col min="6" max="6" width="15" customWidth="1"/>
    <col min="7" max="7" width="14.5703125" customWidth="1"/>
    <col min="9" max="9" width="31.5703125" customWidth="1"/>
    <col min="11" max="11" width="8.7109375" customWidth="1"/>
    <col min="12" max="12" width="12.28515625" customWidth="1"/>
    <col min="13" max="13" width="8.7109375" customWidth="1"/>
    <col min="14" max="14" width="14.42578125" customWidth="1"/>
    <col min="15" max="15" width="8.7109375" customWidth="1"/>
    <col min="17" max="17" width="8.7109375" customWidth="1"/>
  </cols>
  <sheetData>
    <row r="1" spans="1:29" s="1" customFormat="1">
      <c r="G1" s="24"/>
      <c r="H1" s="24"/>
      <c r="I1" s="24"/>
      <c r="J1" s="24"/>
      <c r="K1" s="24"/>
      <c r="L1" s="24"/>
      <c r="M1" s="24"/>
      <c r="N1" s="24"/>
      <c r="O1" s="24"/>
      <c r="P1" s="24"/>
      <c r="Q1" s="24"/>
      <c r="R1" s="24"/>
      <c r="S1" s="24"/>
      <c r="T1" s="24"/>
      <c r="U1" s="24"/>
      <c r="V1" s="24"/>
      <c r="W1" s="24"/>
      <c r="X1" s="24"/>
      <c r="Y1" s="24"/>
      <c r="Z1" s="24"/>
      <c r="AA1" s="24"/>
      <c r="AB1" s="24"/>
      <c r="AC1" s="24"/>
    </row>
    <row r="2" spans="1:29" s="3" customFormat="1" ht="15">
      <c r="A2" s="642" t="s">
        <v>672</v>
      </c>
      <c r="B2" s="616" t="s">
        <v>3032</v>
      </c>
      <c r="C2" s="616"/>
      <c r="D2" s="616"/>
      <c r="E2" s="616"/>
      <c r="F2" s="616"/>
      <c r="G2" s="366"/>
      <c r="H2" s="366"/>
      <c r="I2" s="366"/>
      <c r="J2" s="366"/>
      <c r="K2" s="366"/>
      <c r="L2" s="366"/>
      <c r="M2" s="366"/>
      <c r="N2" s="366"/>
      <c r="O2" s="366"/>
      <c r="P2" s="27"/>
      <c r="Q2" s="27"/>
      <c r="R2" s="27"/>
      <c r="S2" s="27"/>
      <c r="T2" s="27"/>
      <c r="U2" s="27"/>
      <c r="V2" s="27"/>
      <c r="W2" s="27"/>
      <c r="X2" s="27"/>
      <c r="Y2" s="27"/>
      <c r="Z2" s="27"/>
      <c r="AA2" s="27"/>
      <c r="AB2" s="27"/>
      <c r="AC2" s="27"/>
    </row>
    <row r="3" spans="1:29" s="3" customFormat="1" ht="15">
      <c r="A3" s="642"/>
      <c r="B3" s="616" t="s">
        <v>3033</v>
      </c>
      <c r="C3" s="616"/>
      <c r="D3" s="616"/>
      <c r="E3" s="616"/>
      <c r="F3" s="616"/>
      <c r="G3" s="366"/>
      <c r="H3" s="366"/>
      <c r="I3" s="366"/>
      <c r="J3" s="366"/>
      <c r="K3" s="366"/>
      <c r="L3" s="366"/>
      <c r="M3" s="366"/>
      <c r="N3" s="366"/>
      <c r="O3" s="366"/>
      <c r="P3" s="27"/>
      <c r="Q3" s="27"/>
      <c r="R3" s="27"/>
      <c r="S3" s="27"/>
      <c r="T3" s="27"/>
      <c r="U3" s="27"/>
      <c r="V3" s="27"/>
      <c r="W3" s="27"/>
      <c r="X3" s="27"/>
      <c r="Y3" s="27"/>
      <c r="Z3" s="27"/>
      <c r="AA3" s="27"/>
      <c r="AB3" s="27"/>
      <c r="AC3" s="27"/>
    </row>
    <row r="4" spans="1:29" s="3" customFormat="1" ht="15">
      <c r="A4" s="642" t="s">
        <v>673</v>
      </c>
      <c r="B4" s="616" t="s">
        <v>3034</v>
      </c>
      <c r="C4" s="616"/>
      <c r="D4" s="616"/>
      <c r="E4" s="616"/>
      <c r="F4" s="616"/>
      <c r="G4" s="366"/>
      <c r="H4" s="366"/>
      <c r="I4" s="366"/>
      <c r="J4" s="366"/>
      <c r="K4" s="366"/>
      <c r="L4" s="366"/>
      <c r="M4" s="366"/>
      <c r="N4" s="366"/>
      <c r="O4" s="366"/>
      <c r="P4" s="27"/>
      <c r="Q4" s="27"/>
      <c r="R4" s="27"/>
      <c r="S4" s="27"/>
      <c r="T4" s="27"/>
      <c r="U4" s="27"/>
      <c r="V4" s="27"/>
      <c r="W4" s="27"/>
      <c r="X4" s="27"/>
      <c r="Y4" s="27"/>
      <c r="Z4" s="27"/>
      <c r="AA4" s="27"/>
      <c r="AB4" s="27"/>
      <c r="AC4" s="27"/>
    </row>
    <row r="5" spans="1:29" s="3" customFormat="1" ht="15">
      <c r="A5" s="642" t="s">
        <v>389</v>
      </c>
      <c r="B5" s="616" t="s">
        <v>3035</v>
      </c>
      <c r="C5" s="616"/>
      <c r="D5" s="616"/>
      <c r="E5" s="616"/>
      <c r="F5" s="616"/>
      <c r="G5" s="366"/>
      <c r="H5" s="366"/>
      <c r="I5" s="366"/>
      <c r="J5" s="366"/>
      <c r="K5" s="366"/>
      <c r="L5" s="366"/>
      <c r="M5" s="366"/>
      <c r="N5" s="366"/>
      <c r="O5" s="366"/>
      <c r="P5" s="27"/>
      <c r="Q5" s="27"/>
      <c r="R5" s="27"/>
      <c r="S5" s="27"/>
      <c r="T5" s="27"/>
      <c r="U5" s="27"/>
      <c r="V5" s="27"/>
      <c r="W5" s="27"/>
      <c r="X5" s="27"/>
      <c r="Y5" s="27"/>
      <c r="Z5" s="27"/>
      <c r="AA5" s="27"/>
      <c r="AB5" s="27"/>
      <c r="AC5" s="27"/>
    </row>
    <row r="6" spans="1:29" s="3" customFormat="1" ht="15">
      <c r="A6" s="642" t="s">
        <v>391</v>
      </c>
      <c r="B6" s="616" t="s">
        <v>3036</v>
      </c>
      <c r="C6" s="616"/>
      <c r="D6" s="616"/>
      <c r="E6" s="616"/>
      <c r="F6" s="616"/>
      <c r="G6" s="366"/>
      <c r="H6" s="366"/>
      <c r="I6" s="366"/>
      <c r="J6" s="366"/>
      <c r="K6" s="366"/>
      <c r="L6" s="366"/>
      <c r="M6" s="366"/>
      <c r="N6" s="366"/>
      <c r="O6" s="366"/>
      <c r="P6" s="27"/>
      <c r="Q6" s="27"/>
      <c r="R6" s="27"/>
      <c r="S6" s="27"/>
      <c r="T6" s="27"/>
      <c r="U6" s="27"/>
      <c r="V6" s="27"/>
      <c r="W6" s="27"/>
      <c r="X6" s="27"/>
      <c r="Y6" s="27"/>
      <c r="Z6" s="27"/>
      <c r="AA6" s="27"/>
      <c r="AB6" s="27"/>
      <c r="AC6" s="27"/>
    </row>
    <row r="7" spans="1:29" s="1" customFormat="1" ht="15.75">
      <c r="A7" s="985"/>
      <c r="B7" s="631"/>
      <c r="C7" s="631"/>
      <c r="D7" s="631"/>
      <c r="E7" s="631"/>
      <c r="F7" s="631"/>
      <c r="G7" s="986"/>
      <c r="H7" s="986"/>
      <c r="I7" s="986"/>
      <c r="J7" s="986"/>
      <c r="K7" s="986"/>
      <c r="L7" s="986"/>
      <c r="M7" s="986"/>
      <c r="N7" s="986"/>
      <c r="O7" s="986"/>
      <c r="P7" s="24"/>
      <c r="Q7" s="24"/>
      <c r="R7" s="24"/>
      <c r="S7" s="24"/>
      <c r="T7" s="24"/>
      <c r="U7" s="24"/>
      <c r="V7" s="24"/>
      <c r="W7" s="24"/>
      <c r="X7" s="24"/>
      <c r="Y7" s="24"/>
      <c r="Z7" s="24"/>
      <c r="AA7" s="24"/>
      <c r="AB7" s="24"/>
      <c r="AC7" s="24"/>
    </row>
    <row r="8" spans="1:29" ht="15.75">
      <c r="A8" s="987"/>
      <c r="B8" s="370"/>
      <c r="C8" s="370"/>
      <c r="D8" s="370"/>
      <c r="E8" s="370"/>
      <c r="F8" s="370"/>
      <c r="G8" s="366"/>
      <c r="H8" s="366"/>
      <c r="I8" s="366"/>
      <c r="J8" s="366"/>
      <c r="K8" s="366"/>
      <c r="L8" s="366"/>
      <c r="M8" s="366"/>
      <c r="N8" s="366"/>
      <c r="O8" s="366"/>
      <c r="P8" s="27"/>
      <c r="Q8" s="27"/>
      <c r="R8" s="27"/>
      <c r="S8" s="27"/>
      <c r="T8" s="27"/>
      <c r="U8" s="24"/>
      <c r="V8" s="24"/>
      <c r="W8" s="24"/>
      <c r="X8" s="24"/>
      <c r="Y8" s="24"/>
      <c r="Z8" s="24"/>
      <c r="AA8" s="24"/>
      <c r="AB8" s="24"/>
      <c r="AC8" s="24"/>
    </row>
    <row r="9" spans="1:29" ht="16.5" thickBot="1">
      <c r="A9" s="987"/>
      <c r="B9" s="988" t="s">
        <v>3037</v>
      </c>
      <c r="C9" s="227"/>
      <c r="D9" s="227"/>
      <c r="E9" s="227"/>
      <c r="F9" s="315"/>
      <c r="G9" s="27"/>
      <c r="H9" s="27"/>
      <c r="I9" s="27"/>
      <c r="J9" s="27"/>
      <c r="K9" s="27"/>
      <c r="L9" s="27"/>
      <c r="M9" s="27"/>
      <c r="N9" s="27"/>
      <c r="O9" s="27"/>
      <c r="P9" s="27"/>
      <c r="Q9" s="27"/>
      <c r="R9" s="27"/>
      <c r="S9" s="27"/>
      <c r="T9" s="27"/>
      <c r="U9" s="24"/>
      <c r="V9" s="24"/>
      <c r="W9" s="24"/>
      <c r="X9" s="24"/>
      <c r="Y9" s="24"/>
      <c r="Z9" s="24"/>
      <c r="AA9" s="24"/>
      <c r="AB9" s="24"/>
      <c r="AC9" s="24"/>
    </row>
    <row r="10" spans="1:29" ht="15.75">
      <c r="A10" s="987"/>
      <c r="B10" s="315"/>
      <c r="C10" s="315"/>
      <c r="D10" s="315"/>
      <c r="E10" s="315"/>
      <c r="F10" s="989" t="s">
        <v>156</v>
      </c>
      <c r="G10" s="27"/>
      <c r="H10" s="27"/>
      <c r="I10" s="27"/>
      <c r="J10" s="27"/>
      <c r="K10" s="27"/>
      <c r="L10" s="27"/>
      <c r="M10" s="27"/>
      <c r="N10" s="27"/>
      <c r="O10" s="27"/>
      <c r="P10" s="27"/>
      <c r="Q10" s="27"/>
      <c r="R10" s="27"/>
      <c r="S10" s="27"/>
      <c r="T10" s="27"/>
      <c r="U10" s="24"/>
      <c r="V10" s="24"/>
      <c r="W10" s="24"/>
      <c r="X10" s="24"/>
      <c r="Y10" s="24"/>
      <c r="Z10" s="24"/>
      <c r="AA10" s="24"/>
      <c r="AB10" s="24"/>
      <c r="AC10" s="24"/>
    </row>
    <row r="11" spans="1:29" ht="15.75">
      <c r="A11" s="987" t="s">
        <v>672</v>
      </c>
      <c r="B11" s="315" t="s">
        <v>3038</v>
      </c>
      <c r="C11" s="315"/>
      <c r="D11" s="227">
        <v>20</v>
      </c>
      <c r="E11" s="315" t="s">
        <v>344</v>
      </c>
      <c r="F11" s="990">
        <v>1</v>
      </c>
      <c r="G11" s="27"/>
      <c r="H11" s="27"/>
      <c r="I11" s="27"/>
      <c r="J11" s="27"/>
      <c r="K11" s="27"/>
      <c r="L11" s="27"/>
      <c r="M11" s="27"/>
      <c r="N11" s="27"/>
      <c r="O11" s="27"/>
      <c r="P11" s="27"/>
      <c r="Q11" s="27"/>
      <c r="R11" s="27"/>
      <c r="S11" s="27"/>
      <c r="T11" s="27"/>
      <c r="U11" s="24"/>
      <c r="V11" s="24"/>
      <c r="W11" s="24"/>
      <c r="X11" s="24"/>
      <c r="Y11" s="24"/>
      <c r="Z11" s="24"/>
      <c r="AA11" s="24"/>
      <c r="AB11" s="24"/>
      <c r="AC11" s="24"/>
    </row>
    <row r="12" spans="1:29" ht="15.75">
      <c r="A12" s="987"/>
      <c r="B12" s="315" t="s">
        <v>3039</v>
      </c>
      <c r="C12" s="315"/>
      <c r="D12" s="227">
        <v>28</v>
      </c>
      <c r="E12" s="315" t="s">
        <v>344</v>
      </c>
      <c r="F12" s="990">
        <f>D12/$D$11</f>
        <v>1.4</v>
      </c>
      <c r="G12" s="27"/>
      <c r="H12" s="27"/>
      <c r="I12" s="27"/>
      <c r="J12" s="27"/>
      <c r="K12" s="27"/>
      <c r="L12" s="27"/>
      <c r="M12" s="27"/>
      <c r="N12" s="27"/>
      <c r="O12" s="27"/>
      <c r="P12" s="27"/>
      <c r="Q12" s="27"/>
      <c r="R12" s="27"/>
      <c r="S12" s="27"/>
      <c r="T12" s="27"/>
      <c r="U12" s="24"/>
      <c r="V12" s="24"/>
      <c r="W12" s="24"/>
      <c r="X12" s="24"/>
      <c r="Y12" s="24"/>
      <c r="Z12" s="24"/>
      <c r="AA12" s="24"/>
      <c r="AB12" s="24"/>
      <c r="AC12" s="24"/>
    </row>
    <row r="13" spans="1:29" ht="15.75">
      <c r="A13" s="987"/>
      <c r="B13" s="315" t="s">
        <v>3040</v>
      </c>
      <c r="C13" s="315"/>
      <c r="D13" s="227">
        <v>50</v>
      </c>
      <c r="E13" s="315" t="s">
        <v>344</v>
      </c>
      <c r="F13" s="990">
        <f>D13/$D$11</f>
        <v>2.5</v>
      </c>
      <c r="G13" s="27"/>
      <c r="H13" s="27"/>
      <c r="I13" s="27"/>
      <c r="J13" s="27"/>
      <c r="K13" s="27"/>
      <c r="L13" s="27"/>
      <c r="M13" s="27"/>
      <c r="N13" s="27"/>
      <c r="O13" s="27"/>
      <c r="P13" s="27"/>
      <c r="Q13" s="27"/>
      <c r="R13" s="27"/>
      <c r="S13" s="27"/>
      <c r="T13" s="27"/>
      <c r="U13" s="24"/>
      <c r="V13" s="24"/>
      <c r="W13" s="24"/>
      <c r="X13" s="24"/>
      <c r="Y13" s="24"/>
      <c r="Z13" s="24"/>
      <c r="AA13" s="24"/>
      <c r="AB13" s="24"/>
      <c r="AC13" s="24"/>
    </row>
    <row r="14" spans="1:29" ht="15.75">
      <c r="A14" s="987"/>
      <c r="B14" s="315" t="s">
        <v>3041</v>
      </c>
      <c r="C14" s="315"/>
      <c r="D14" s="227">
        <v>80</v>
      </c>
      <c r="E14" s="31" t="s">
        <v>344</v>
      </c>
      <c r="F14" s="990">
        <f>D14/$D$11</f>
        <v>4</v>
      </c>
      <c r="G14" s="27"/>
      <c r="H14" s="27"/>
      <c r="I14" s="27"/>
      <c r="J14" s="27"/>
      <c r="K14" s="27"/>
      <c r="L14" s="27"/>
      <c r="M14" s="27"/>
      <c r="N14" s="27"/>
      <c r="O14" s="27"/>
      <c r="P14" s="27"/>
      <c r="Q14" s="27"/>
      <c r="R14" s="27"/>
      <c r="S14" s="27"/>
      <c r="T14" s="27"/>
      <c r="U14" s="24"/>
      <c r="V14" s="24"/>
      <c r="W14" s="24"/>
      <c r="X14" s="24"/>
      <c r="Y14" s="24"/>
      <c r="Z14" s="24"/>
      <c r="AA14" s="24"/>
      <c r="AB14" s="24"/>
      <c r="AC14" s="24"/>
    </row>
    <row r="15" spans="1:29" ht="15.75">
      <c r="A15" s="987"/>
      <c r="B15" s="315" t="s">
        <v>3042</v>
      </c>
      <c r="C15" s="315"/>
      <c r="D15" s="227">
        <v>200</v>
      </c>
      <c r="E15" s="31" t="s">
        <v>344</v>
      </c>
      <c r="F15" s="990">
        <f>D15/$D$11</f>
        <v>10</v>
      </c>
      <c r="G15" s="27"/>
      <c r="H15" s="27"/>
      <c r="I15" s="27"/>
      <c r="J15" s="27"/>
      <c r="K15" s="27"/>
      <c r="L15" s="27"/>
      <c r="M15" s="27"/>
      <c r="N15" s="27"/>
      <c r="O15" s="27"/>
      <c r="P15" s="27"/>
      <c r="Q15" s="27"/>
      <c r="R15" s="27"/>
      <c r="S15" s="27"/>
      <c r="T15" s="27"/>
      <c r="U15" s="24"/>
      <c r="V15" s="24"/>
      <c r="W15" s="24"/>
      <c r="X15" s="24"/>
      <c r="Y15" s="24"/>
      <c r="Z15" s="24"/>
      <c r="AA15" s="24"/>
      <c r="AB15" s="24"/>
      <c r="AC15" s="24"/>
    </row>
    <row r="16" spans="1:29" ht="16.5" thickBot="1">
      <c r="A16" s="987"/>
      <c r="B16" s="315" t="s">
        <v>2983</v>
      </c>
      <c r="C16" s="315"/>
      <c r="D16" s="254" t="s">
        <v>1454</v>
      </c>
      <c r="E16" s="31" t="s">
        <v>344</v>
      </c>
      <c r="F16" s="991"/>
      <c r="G16" s="27"/>
      <c r="H16" s="27"/>
      <c r="I16" s="27"/>
      <c r="J16" s="27"/>
      <c r="K16" s="27"/>
      <c r="L16" s="27"/>
      <c r="M16" s="27"/>
      <c r="N16" s="27"/>
      <c r="O16" s="27"/>
      <c r="P16" s="27"/>
      <c r="Q16" s="27"/>
      <c r="R16" s="27"/>
      <c r="S16" s="27"/>
      <c r="T16" s="27"/>
      <c r="U16" s="24"/>
      <c r="V16" s="24"/>
      <c r="W16" s="24"/>
      <c r="X16" s="24"/>
      <c r="Y16" s="24"/>
      <c r="Z16" s="24"/>
      <c r="AA16" s="24"/>
      <c r="AB16" s="24"/>
      <c r="AC16" s="24"/>
    </row>
    <row r="17" spans="1:29" ht="15.75">
      <c r="A17" s="987"/>
      <c r="B17" s="315" t="s">
        <v>3043</v>
      </c>
      <c r="C17" s="315"/>
      <c r="D17" s="227">
        <v>25</v>
      </c>
      <c r="E17" s="31" t="s">
        <v>344</v>
      </c>
      <c r="F17" s="315"/>
      <c r="G17" s="27"/>
      <c r="H17" s="992" t="s">
        <v>3044</v>
      </c>
      <c r="I17" s="186"/>
      <c r="J17" s="186"/>
      <c r="K17" s="186"/>
      <c r="L17" s="186"/>
      <c r="M17" s="186"/>
      <c r="N17" s="27"/>
      <c r="O17" s="27"/>
      <c r="P17" s="27"/>
      <c r="Q17" s="27"/>
      <c r="R17" s="27"/>
      <c r="S17" s="27"/>
      <c r="T17" s="27"/>
      <c r="U17" s="24"/>
      <c r="V17" s="24"/>
      <c r="W17" s="24"/>
      <c r="X17" s="24"/>
      <c r="Y17" s="24"/>
      <c r="Z17" s="24"/>
      <c r="AA17" s="24"/>
      <c r="AB17" s="24"/>
      <c r="AC17" s="24"/>
    </row>
    <row r="18" spans="1:29" ht="15.75">
      <c r="A18" s="987"/>
      <c r="B18" t="s">
        <v>3045</v>
      </c>
      <c r="D18" s="235">
        <v>1000</v>
      </c>
      <c r="E18" t="s">
        <v>344</v>
      </c>
      <c r="G18" s="24"/>
      <c r="H18" s="175" t="s">
        <v>3046</v>
      </c>
      <c r="I18" s="175"/>
      <c r="J18" s="175"/>
      <c r="K18" s="175"/>
      <c r="L18" s="175"/>
      <c r="M18" s="175"/>
      <c r="N18" s="24"/>
      <c r="O18" s="24"/>
      <c r="P18" s="24"/>
      <c r="Q18" s="24"/>
      <c r="R18" s="24"/>
      <c r="S18" s="24"/>
      <c r="T18" s="24"/>
      <c r="U18" s="24"/>
      <c r="V18" s="24"/>
      <c r="W18" s="24"/>
      <c r="X18" s="24"/>
      <c r="Y18" s="24"/>
      <c r="Z18" s="24"/>
      <c r="AA18" s="24"/>
      <c r="AB18" s="24"/>
      <c r="AC18" s="24"/>
    </row>
    <row r="19" spans="1:29" ht="15.75">
      <c r="A19" s="987"/>
      <c r="G19" s="24"/>
      <c r="H19" s="992" t="s">
        <v>3047</v>
      </c>
      <c r="I19" s="175"/>
      <c r="J19" s="175"/>
      <c r="K19" s="175"/>
      <c r="L19" s="175"/>
      <c r="M19" s="175"/>
      <c r="N19" s="24"/>
      <c r="O19" s="24"/>
      <c r="P19" s="24"/>
      <c r="Q19" s="24"/>
      <c r="R19" s="24"/>
      <c r="S19" s="24"/>
      <c r="T19" s="24"/>
      <c r="U19" s="24"/>
      <c r="V19" s="24"/>
      <c r="W19" s="24"/>
      <c r="X19" s="24"/>
      <c r="Y19" s="24"/>
      <c r="Z19" s="24"/>
      <c r="AA19" s="24"/>
      <c r="AB19" s="24"/>
      <c r="AC19" s="24"/>
    </row>
    <row r="20" spans="1:29" ht="15.75">
      <c r="A20" s="987"/>
      <c r="G20" s="24"/>
      <c r="H20" s="175" t="s">
        <v>3048</v>
      </c>
      <c r="I20" s="175"/>
      <c r="J20" s="175"/>
      <c r="K20" s="175"/>
      <c r="L20" s="175"/>
      <c r="M20" s="175"/>
      <c r="N20" s="24"/>
      <c r="O20" s="24"/>
      <c r="P20" s="24"/>
      <c r="Q20" s="24"/>
      <c r="R20" s="24"/>
      <c r="S20" s="24"/>
      <c r="T20" s="24"/>
      <c r="U20" s="24"/>
      <c r="V20" s="24"/>
      <c r="W20" s="24"/>
      <c r="X20" s="24"/>
      <c r="Y20" s="24"/>
      <c r="Z20" s="24"/>
      <c r="AA20" s="24"/>
      <c r="AB20" s="24"/>
      <c r="AC20" s="24"/>
    </row>
    <row r="21" spans="1:29" ht="15.75">
      <c r="A21" s="987"/>
      <c r="B21" t="s">
        <v>2595</v>
      </c>
      <c r="D21">
        <f>D17/D18</f>
        <v>2.5000000000000001E-2</v>
      </c>
      <c r="G21" s="24"/>
      <c r="H21" s="175"/>
      <c r="I21" s="175"/>
      <c r="J21" s="175"/>
      <c r="K21" s="175"/>
      <c r="L21" s="175"/>
      <c r="M21" s="175"/>
      <c r="N21" s="24"/>
      <c r="O21" s="24"/>
      <c r="P21" s="24"/>
      <c r="Q21" s="24"/>
      <c r="R21" s="24"/>
      <c r="S21" s="24"/>
      <c r="T21" s="24"/>
      <c r="U21" s="24"/>
      <c r="V21" s="24"/>
      <c r="W21" s="24"/>
      <c r="X21" s="24"/>
      <c r="Y21" s="24"/>
      <c r="Z21" s="24"/>
      <c r="AA21" s="24"/>
      <c r="AB21" s="24"/>
      <c r="AC21" s="24"/>
    </row>
    <row r="22" spans="1:29" ht="15.75">
      <c r="A22" s="987"/>
      <c r="B22" t="s">
        <v>3049</v>
      </c>
      <c r="C22" t="s">
        <v>2721</v>
      </c>
      <c r="D22">
        <f>1/D21</f>
        <v>40</v>
      </c>
      <c r="G22" s="24"/>
      <c r="H22" s="992" t="s">
        <v>3050</v>
      </c>
      <c r="I22" s="175"/>
      <c r="J22" s="175"/>
      <c r="K22" s="175"/>
      <c r="L22" s="175"/>
      <c r="M22" s="175"/>
      <c r="N22" s="24"/>
      <c r="O22" s="24"/>
      <c r="P22" s="24"/>
      <c r="Q22" s="24"/>
      <c r="R22" s="24"/>
      <c r="S22" s="24"/>
      <c r="T22" s="24"/>
      <c r="U22" s="24"/>
      <c r="V22" s="24"/>
      <c r="W22" s="24"/>
      <c r="X22" s="24"/>
      <c r="Y22" s="24"/>
      <c r="Z22" s="24"/>
      <c r="AA22" s="24"/>
      <c r="AB22" s="24"/>
      <c r="AC22" s="24"/>
    </row>
    <row r="23" spans="1:29" ht="15.75" thickBot="1">
      <c r="A23" s="993"/>
      <c r="B23" s="298" t="s">
        <v>3051</v>
      </c>
      <c r="C23" s="298"/>
      <c r="D23" s="298"/>
      <c r="E23" s="298"/>
      <c r="G23" s="24"/>
      <c r="H23" s="175" t="s">
        <v>3052</v>
      </c>
      <c r="I23" s="175"/>
      <c r="J23" s="175"/>
      <c r="K23" s="175"/>
      <c r="L23" s="175"/>
      <c r="M23" s="175"/>
      <c r="N23" s="24"/>
      <c r="O23" s="24"/>
      <c r="P23" s="24"/>
      <c r="Q23" s="24"/>
      <c r="R23" s="24"/>
      <c r="S23" s="24"/>
      <c r="T23" s="24"/>
      <c r="U23" s="24"/>
      <c r="V23" s="24"/>
      <c r="W23" s="24"/>
      <c r="X23" s="24"/>
      <c r="Y23" s="24"/>
      <c r="Z23" s="24"/>
      <c r="AA23" s="24"/>
      <c r="AB23" s="24"/>
      <c r="AC23" s="24"/>
    </row>
    <row r="24" spans="1:29">
      <c r="F24" s="989" t="s">
        <v>156</v>
      </c>
      <c r="G24" s="24"/>
      <c r="H24" s="24"/>
      <c r="I24" s="24"/>
      <c r="J24" s="24"/>
      <c r="K24" s="24"/>
      <c r="L24" s="24"/>
      <c r="M24" s="24"/>
      <c r="N24" s="24"/>
      <c r="O24" s="24"/>
      <c r="P24" s="24"/>
      <c r="Q24" s="24"/>
      <c r="R24" s="24"/>
      <c r="S24" s="24"/>
      <c r="T24" s="24"/>
      <c r="U24" s="24"/>
      <c r="V24" s="24"/>
      <c r="W24" s="24"/>
      <c r="X24" s="24"/>
      <c r="Y24" s="24"/>
      <c r="Z24" s="24"/>
      <c r="AA24" s="24"/>
      <c r="AB24" s="24"/>
      <c r="AC24" s="24"/>
    </row>
    <row r="25" spans="1:29" ht="15.75">
      <c r="A25" s="987"/>
      <c r="B25" t="s">
        <v>3053</v>
      </c>
      <c r="D25">
        <f>D11+D22*D11</f>
        <v>820</v>
      </c>
      <c r="E25" t="s">
        <v>344</v>
      </c>
      <c r="F25" s="990">
        <v>1</v>
      </c>
      <c r="G25" s="24"/>
      <c r="H25" s="24"/>
      <c r="I25" s="24"/>
      <c r="J25" s="24"/>
      <c r="K25" s="24"/>
      <c r="L25" s="24"/>
      <c r="M25" s="24"/>
      <c r="N25" s="24"/>
      <c r="O25" s="24"/>
      <c r="P25" s="24"/>
      <c r="Q25" s="24"/>
      <c r="R25" s="24"/>
      <c r="S25" s="24"/>
      <c r="T25" s="24"/>
      <c r="U25" s="24"/>
      <c r="V25" s="24"/>
      <c r="W25" s="24"/>
      <c r="X25" s="24"/>
      <c r="Y25" s="24"/>
      <c r="Z25" s="24"/>
      <c r="AA25" s="24"/>
      <c r="AB25" s="24"/>
      <c r="AC25" s="24"/>
    </row>
    <row r="26" spans="1:29" ht="15.75">
      <c r="A26" s="987"/>
      <c r="B26" t="s">
        <v>3054</v>
      </c>
      <c r="D26">
        <f>D12+D22*D12</f>
        <v>1148</v>
      </c>
      <c r="E26" t="s">
        <v>344</v>
      </c>
      <c r="F26" s="990">
        <f>D26/$D$25</f>
        <v>1.4</v>
      </c>
      <c r="G26" s="24"/>
      <c r="H26" s="24"/>
      <c r="I26" s="24"/>
      <c r="J26" s="24"/>
      <c r="K26" s="24"/>
      <c r="L26" s="24"/>
      <c r="M26" s="24"/>
      <c r="N26" s="24"/>
      <c r="O26" s="24"/>
      <c r="P26" s="24"/>
      <c r="Q26" s="24"/>
      <c r="R26" s="24"/>
      <c r="S26" s="24"/>
      <c r="T26" s="24"/>
      <c r="U26" s="24"/>
      <c r="V26" s="24"/>
      <c r="W26" s="24"/>
      <c r="X26" s="24"/>
      <c r="Y26" s="24"/>
      <c r="Z26" s="24"/>
      <c r="AA26" s="24"/>
      <c r="AB26" s="24"/>
      <c r="AC26" s="24"/>
    </row>
    <row r="27" spans="1:29" ht="15.75">
      <c r="A27" s="987"/>
      <c r="B27" t="s">
        <v>3055</v>
      </c>
      <c r="D27">
        <f>D13+D13*D22</f>
        <v>2050</v>
      </c>
      <c r="E27" t="s">
        <v>344</v>
      </c>
      <c r="F27" s="990">
        <f>D27/$D$25</f>
        <v>2.5</v>
      </c>
      <c r="G27" s="24"/>
      <c r="H27" s="24"/>
      <c r="I27" s="24"/>
      <c r="J27" s="24"/>
      <c r="K27" s="24"/>
      <c r="L27" s="24"/>
      <c r="M27" s="24"/>
      <c r="N27" s="24"/>
      <c r="O27" s="24"/>
      <c r="P27" s="24"/>
      <c r="Q27" s="24"/>
      <c r="R27" s="24"/>
      <c r="S27" s="24"/>
      <c r="T27" s="24"/>
      <c r="U27" s="24"/>
      <c r="V27" s="24"/>
      <c r="W27" s="24"/>
      <c r="X27" s="24"/>
      <c r="Y27" s="24"/>
      <c r="Z27" s="24"/>
      <c r="AA27" s="24"/>
      <c r="AB27" s="24"/>
      <c r="AC27" s="24"/>
    </row>
    <row r="28" spans="1:29" ht="15.75">
      <c r="A28" s="987"/>
      <c r="B28" t="s">
        <v>3056</v>
      </c>
      <c r="D28">
        <f>D14+D14*D22</f>
        <v>3280</v>
      </c>
      <c r="E28" t="s">
        <v>344</v>
      </c>
      <c r="F28" s="990">
        <f>D28/$D$25</f>
        <v>4</v>
      </c>
      <c r="G28" s="24"/>
      <c r="H28" s="24"/>
      <c r="I28" s="24"/>
      <c r="J28" s="24"/>
      <c r="K28" s="24"/>
      <c r="L28" s="24"/>
      <c r="M28" s="24"/>
      <c r="N28" s="24"/>
      <c r="O28" s="24"/>
      <c r="P28" s="24"/>
      <c r="Q28" s="24"/>
      <c r="R28" s="24"/>
      <c r="S28" s="24"/>
      <c r="T28" s="24"/>
      <c r="U28" s="24"/>
      <c r="V28" s="24"/>
      <c r="W28" s="24"/>
      <c r="X28" s="24"/>
      <c r="Y28" s="24"/>
      <c r="Z28" s="24"/>
      <c r="AA28" s="24"/>
      <c r="AB28" s="24"/>
      <c r="AC28" s="24"/>
    </row>
    <row r="29" spans="1:29" ht="16.5" thickBot="1">
      <c r="A29" s="987"/>
      <c r="B29" t="s">
        <v>3057</v>
      </c>
      <c r="D29">
        <f>D15+D15*D22</f>
        <v>8200</v>
      </c>
      <c r="E29" t="s">
        <v>344</v>
      </c>
      <c r="F29" s="994">
        <f>D29/$D$25</f>
        <v>10</v>
      </c>
      <c r="G29" s="24"/>
      <c r="H29" s="24"/>
      <c r="I29" s="24"/>
      <c r="J29" s="24"/>
      <c r="K29" s="24"/>
      <c r="L29" s="24"/>
      <c r="M29" s="24"/>
      <c r="N29" s="24"/>
      <c r="O29" s="24"/>
      <c r="P29" s="24"/>
      <c r="Q29" s="24"/>
      <c r="R29" s="24"/>
      <c r="S29" s="24"/>
      <c r="T29" s="24"/>
      <c r="U29" s="24"/>
      <c r="V29" s="24"/>
      <c r="W29" s="24"/>
      <c r="X29" s="24"/>
      <c r="Y29" s="24"/>
      <c r="Z29" s="24"/>
      <c r="AA29" s="24"/>
      <c r="AB29" s="24"/>
      <c r="AC29" s="24"/>
    </row>
    <row r="30" spans="1:29" ht="15.75">
      <c r="A30" s="987"/>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15.75">
      <c r="A31" s="987"/>
      <c r="G31" s="24"/>
      <c r="H31" s="24"/>
      <c r="I31" s="24"/>
      <c r="J31" s="24"/>
      <c r="K31" s="24"/>
      <c r="L31" s="24"/>
      <c r="M31" s="24"/>
      <c r="N31" s="24"/>
      <c r="O31" s="24"/>
      <c r="P31" s="24"/>
      <c r="Q31" s="24"/>
      <c r="R31" s="24"/>
      <c r="S31" s="24"/>
      <c r="T31" s="24"/>
      <c r="U31" s="24"/>
      <c r="V31" s="24"/>
      <c r="W31" s="24"/>
      <c r="X31" s="24"/>
      <c r="Y31" s="24"/>
      <c r="Z31" s="24"/>
      <c r="AA31" s="24"/>
      <c r="AB31" s="24"/>
      <c r="AC31" s="24"/>
    </row>
    <row r="32" spans="1:29">
      <c r="B32" t="str">
        <f>"Der Aufnahmeabstand für Fall 1 ist " &amp; ROUND(D25,2) &amp; " mm, für Fall 2 " &amp; ROUND(D26,2) &amp; " mm, für Fall 3 " &amp; ROUND(D27,2) &amp; " mm, für Fall 4 " &amp; ROUND(D28,2) &amp; " mm und für Fall 5 " &amp; ROUND(D29,2) &amp; " mm."</f>
        <v>Der Aufnahmeabstand für Fall 1 ist 820 mm, für Fall 2 1148 mm, für Fall 3 2050 mm, für Fall 4 3280 mm und für Fall 5 8200 mm.</v>
      </c>
      <c r="G32" s="24"/>
      <c r="H32" s="24"/>
      <c r="I32" s="24"/>
      <c r="J32" s="24"/>
      <c r="K32" s="24"/>
      <c r="L32" s="24"/>
      <c r="M32" s="24"/>
      <c r="N32" s="24"/>
      <c r="O32" s="24"/>
      <c r="P32" s="24"/>
      <c r="Q32" s="24"/>
      <c r="R32" s="24"/>
      <c r="S32" s="24"/>
      <c r="T32" s="24"/>
      <c r="U32" s="24"/>
      <c r="V32" s="24"/>
      <c r="W32" s="24"/>
      <c r="X32" s="24"/>
      <c r="Y32" s="24"/>
      <c r="Z32" s="24"/>
      <c r="AA32" s="24"/>
      <c r="AB32" s="24"/>
      <c r="AC32" s="24"/>
    </row>
    <row r="33" spans="1:29">
      <c r="G33" s="24"/>
      <c r="H33" s="24"/>
      <c r="I33" s="24"/>
      <c r="J33" s="24"/>
      <c r="K33" s="24"/>
      <c r="L33" s="24"/>
      <c r="M33" s="24"/>
      <c r="N33" s="24"/>
      <c r="O33" s="24"/>
      <c r="P33" s="24"/>
      <c r="Q33" s="24"/>
      <c r="R33" s="24"/>
      <c r="S33" s="24"/>
      <c r="T33" s="24"/>
      <c r="U33" s="24"/>
      <c r="V33" s="24"/>
      <c r="W33" s="24"/>
      <c r="X33" s="24"/>
      <c r="Y33" s="24"/>
      <c r="Z33" s="24"/>
      <c r="AA33" s="24"/>
      <c r="AB33" s="24"/>
      <c r="AC33" s="24"/>
    </row>
    <row r="34" spans="1:29">
      <c r="G34" s="24"/>
      <c r="H34" s="24"/>
      <c r="I34" s="24"/>
      <c r="J34" s="24"/>
      <c r="K34" s="24"/>
      <c r="L34" s="24"/>
      <c r="M34" s="24"/>
      <c r="N34" s="24"/>
      <c r="O34" s="24"/>
      <c r="P34" s="24"/>
      <c r="Q34" s="24"/>
      <c r="R34" s="24"/>
      <c r="S34" s="24"/>
      <c r="T34" s="24"/>
      <c r="U34" s="24"/>
      <c r="V34" s="24"/>
      <c r="W34" s="24"/>
      <c r="X34" s="24"/>
      <c r="Y34" s="24"/>
      <c r="Z34" s="24"/>
      <c r="AA34" s="24"/>
      <c r="AB34" s="24"/>
      <c r="AC34" s="24"/>
    </row>
    <row r="35" spans="1:29" ht="13.5" customHeight="1">
      <c r="G35" s="24"/>
      <c r="H35" s="24"/>
      <c r="I35" s="24"/>
      <c r="J35" s="24"/>
      <c r="K35" s="24"/>
      <c r="L35" s="24"/>
      <c r="M35" s="24"/>
      <c r="N35" s="24"/>
      <c r="O35" s="24"/>
      <c r="P35" s="24"/>
      <c r="Q35" s="24"/>
      <c r="R35" s="24"/>
      <c r="S35" s="24"/>
      <c r="T35" s="24"/>
      <c r="U35" s="24"/>
      <c r="V35" s="24"/>
      <c r="W35" s="24"/>
      <c r="X35" s="24"/>
      <c r="Y35" s="24"/>
      <c r="Z35" s="24"/>
      <c r="AA35" s="24"/>
      <c r="AB35" s="24"/>
      <c r="AC35" s="24"/>
    </row>
    <row r="36" spans="1:29">
      <c r="G36" s="24"/>
      <c r="H36" s="24"/>
      <c r="I36" s="24"/>
      <c r="J36" s="24"/>
      <c r="K36" s="24"/>
      <c r="L36" s="24"/>
      <c r="M36" s="24"/>
      <c r="N36" s="24"/>
      <c r="O36" s="24"/>
      <c r="P36" s="24"/>
      <c r="Q36" s="24"/>
      <c r="R36" s="24"/>
      <c r="S36" s="24"/>
      <c r="T36" s="24"/>
      <c r="U36" s="24"/>
      <c r="V36" s="24"/>
      <c r="W36" s="24"/>
      <c r="X36" s="24"/>
      <c r="Y36" s="24"/>
      <c r="Z36" s="24"/>
      <c r="AA36" s="24"/>
      <c r="AB36" s="24"/>
      <c r="AC36" s="24"/>
    </row>
    <row r="37" spans="1:29" ht="15.75">
      <c r="A37" s="987"/>
      <c r="G37" s="24"/>
      <c r="H37" s="24"/>
      <c r="I37" s="24"/>
      <c r="J37" s="24"/>
      <c r="K37" s="24"/>
      <c r="L37" s="24"/>
      <c r="M37" s="24"/>
      <c r="N37" s="24"/>
      <c r="O37" s="24"/>
      <c r="P37" s="24"/>
      <c r="Q37" s="24"/>
      <c r="R37" s="24"/>
      <c r="S37" s="24"/>
      <c r="T37" s="24"/>
      <c r="U37" s="24"/>
      <c r="V37" s="24"/>
      <c r="W37" s="24"/>
      <c r="X37" s="24"/>
      <c r="Y37" s="24"/>
      <c r="Z37" s="24"/>
      <c r="AA37" s="24"/>
      <c r="AB37" s="24"/>
      <c r="AC37" s="24"/>
    </row>
    <row r="38" spans="1:29" ht="15.75">
      <c r="A38" s="987" t="s">
        <v>673</v>
      </c>
      <c r="B38" t="s">
        <v>3058</v>
      </c>
      <c r="D38" s="235">
        <v>3</v>
      </c>
      <c r="E38" t="s">
        <v>68</v>
      </c>
      <c r="G38" s="24"/>
      <c r="H38" s="24"/>
      <c r="I38" s="24"/>
      <c r="J38" s="24"/>
      <c r="K38" s="24"/>
      <c r="L38" s="24"/>
      <c r="M38" s="24"/>
      <c r="N38" s="24"/>
      <c r="O38" s="24"/>
      <c r="P38" s="24"/>
      <c r="Q38" s="24"/>
      <c r="R38" s="24"/>
      <c r="S38" s="24"/>
      <c r="T38" s="24"/>
      <c r="U38" s="24"/>
      <c r="V38" s="24"/>
      <c r="W38" s="24"/>
      <c r="X38" s="24"/>
      <c r="Y38" s="24"/>
      <c r="Z38" s="24"/>
      <c r="AA38" s="24"/>
      <c r="AB38" s="24"/>
      <c r="AC38" s="24"/>
    </row>
    <row r="39" spans="1:29" ht="15.75">
      <c r="A39" s="987"/>
      <c r="B39" t="s">
        <v>3059</v>
      </c>
      <c r="D39" s="235">
        <v>5</v>
      </c>
      <c r="E39" t="s">
        <v>68</v>
      </c>
      <c r="G39" s="24"/>
      <c r="H39" s="24"/>
      <c r="I39" s="24"/>
      <c r="J39" s="24"/>
      <c r="K39" s="24"/>
      <c r="L39" s="24"/>
      <c r="M39" s="24"/>
      <c r="N39" s="24"/>
      <c r="O39" s="24"/>
      <c r="P39" s="24"/>
      <c r="Q39" s="24"/>
      <c r="R39" s="24"/>
      <c r="S39" s="24"/>
      <c r="T39" s="24"/>
      <c r="U39" s="24"/>
      <c r="V39" s="24"/>
      <c r="W39" s="24"/>
      <c r="X39" s="24"/>
      <c r="Y39" s="24"/>
      <c r="Z39" s="24"/>
      <c r="AA39" s="24"/>
      <c r="AB39" s="24"/>
      <c r="AC39" s="24"/>
    </row>
    <row r="40" spans="1:29" ht="15.75">
      <c r="A40" s="987"/>
      <c r="B40" t="s">
        <v>3045</v>
      </c>
      <c r="D40" s="235">
        <v>1.5</v>
      </c>
      <c r="E40" t="s">
        <v>68</v>
      </c>
      <c r="G40" s="24"/>
      <c r="H40" s="24"/>
      <c r="I40" s="24"/>
      <c r="J40" s="24"/>
      <c r="K40" s="24"/>
      <c r="L40" s="24"/>
      <c r="M40" s="24"/>
      <c r="N40" s="24"/>
      <c r="O40" s="24"/>
      <c r="P40" s="24"/>
      <c r="Q40" s="24"/>
      <c r="R40" s="24"/>
      <c r="S40" s="24"/>
      <c r="T40" s="24"/>
      <c r="U40" s="24"/>
      <c r="V40" s="24"/>
      <c r="W40" s="24"/>
      <c r="X40" s="24"/>
      <c r="Y40" s="24"/>
      <c r="Z40" s="24"/>
      <c r="AA40" s="24"/>
      <c r="AB40" s="24"/>
      <c r="AC40" s="24"/>
    </row>
    <row r="41" spans="1:29" ht="15.75">
      <c r="A41" s="987"/>
      <c r="B41" t="s">
        <v>3060</v>
      </c>
      <c r="D41" s="32">
        <f>D39-D38</f>
        <v>2</v>
      </c>
      <c r="E41" t="s">
        <v>68</v>
      </c>
      <c r="G41" s="24"/>
      <c r="H41" s="24"/>
      <c r="I41" s="24"/>
      <c r="J41" s="24"/>
      <c r="K41" s="24"/>
      <c r="L41" s="24"/>
      <c r="M41" s="24"/>
      <c r="N41" s="24"/>
      <c r="O41" s="24"/>
      <c r="P41" s="24"/>
      <c r="Q41" s="24"/>
      <c r="R41" s="24"/>
      <c r="S41" s="24"/>
      <c r="T41" s="24"/>
      <c r="U41" s="24"/>
      <c r="V41" s="24"/>
      <c r="W41" s="24"/>
      <c r="X41" s="24"/>
      <c r="Y41" s="24"/>
      <c r="Z41" s="24"/>
      <c r="AA41" s="24"/>
      <c r="AB41" s="24"/>
      <c r="AC41" s="24"/>
    </row>
    <row r="42" spans="1:29" ht="15.75">
      <c r="A42" s="987"/>
      <c r="B42" t="s">
        <v>1588</v>
      </c>
      <c r="D42" s="232">
        <v>0.18</v>
      </c>
      <c r="E42" t="s">
        <v>68</v>
      </c>
      <c r="G42" s="24"/>
      <c r="H42" s="24"/>
      <c r="I42" s="24"/>
      <c r="J42" s="24"/>
      <c r="K42" s="24"/>
      <c r="L42" s="24"/>
      <c r="M42" s="24"/>
      <c r="N42" s="24"/>
      <c r="O42" s="24"/>
      <c r="P42" s="24"/>
      <c r="Q42" s="24"/>
      <c r="R42" s="24"/>
      <c r="S42" s="24"/>
      <c r="T42" s="24"/>
      <c r="U42" s="24"/>
      <c r="V42" s="24"/>
      <c r="W42" s="24"/>
      <c r="X42" s="24"/>
      <c r="Y42" s="24"/>
      <c r="Z42" s="24"/>
      <c r="AA42" s="24"/>
      <c r="AB42" s="24"/>
      <c r="AC42" s="24"/>
    </row>
    <row r="43" spans="1:29" ht="15.75">
      <c r="A43" s="987"/>
      <c r="G43" s="24"/>
      <c r="H43" s="24"/>
      <c r="I43" s="24"/>
      <c r="J43" s="24"/>
      <c r="K43" s="24"/>
      <c r="L43" s="24"/>
      <c r="M43" s="24"/>
      <c r="N43" s="24"/>
      <c r="O43" s="24"/>
      <c r="P43" s="24"/>
      <c r="Q43" s="24"/>
      <c r="R43" s="24"/>
      <c r="S43" s="24"/>
      <c r="T43" s="24"/>
      <c r="U43" s="24"/>
      <c r="V43" s="24"/>
      <c r="W43" s="24"/>
      <c r="X43" s="24"/>
      <c r="Y43" s="24"/>
      <c r="Z43" s="24"/>
      <c r="AA43" s="24"/>
      <c r="AB43" s="24"/>
      <c r="AC43" s="24"/>
    </row>
    <row r="44" spans="1:29" ht="15.75">
      <c r="A44" s="987"/>
      <c r="B44" s="445" t="s">
        <v>3061</v>
      </c>
      <c r="C44" s="5"/>
      <c r="D44" s="5"/>
      <c r="E44" s="6"/>
      <c r="G44" s="24"/>
      <c r="H44" s="24"/>
      <c r="I44" s="24"/>
      <c r="J44" s="24"/>
      <c r="K44" s="24"/>
      <c r="L44" s="24"/>
      <c r="M44" s="24"/>
      <c r="N44" s="24"/>
      <c r="O44" s="24"/>
      <c r="P44" s="24"/>
      <c r="Q44" s="24"/>
      <c r="R44" s="24"/>
      <c r="S44" s="24"/>
      <c r="T44" s="24"/>
      <c r="U44" s="24"/>
      <c r="V44" s="24"/>
      <c r="W44" s="24"/>
      <c r="X44" s="24"/>
      <c r="Y44" s="24"/>
      <c r="Z44" s="24"/>
      <c r="AA44" s="24"/>
      <c r="AB44" s="24"/>
      <c r="AC44" s="24"/>
    </row>
    <row r="45" spans="1:29" ht="15.75">
      <c r="A45" s="987"/>
      <c r="B45" s="7" t="s">
        <v>2486</v>
      </c>
      <c r="C45" s="8"/>
      <c r="D45" s="8">
        <f>D42/(D38-D42)</f>
        <v>6.3829787234042548E-2</v>
      </c>
      <c r="E45" s="9"/>
      <c r="G45" s="24"/>
      <c r="H45" s="24"/>
      <c r="I45" s="24"/>
      <c r="J45" s="24"/>
      <c r="K45" s="24"/>
      <c r="L45" s="24"/>
      <c r="M45" s="24"/>
      <c r="N45" s="24"/>
      <c r="O45" s="24"/>
      <c r="P45" s="24"/>
      <c r="Q45" s="24"/>
      <c r="R45" s="24"/>
      <c r="S45" s="24"/>
      <c r="T45" s="24"/>
      <c r="U45" s="24"/>
      <c r="V45" s="24"/>
      <c r="W45" s="24"/>
      <c r="X45" s="24"/>
      <c r="Y45" s="24"/>
      <c r="Z45" s="24"/>
      <c r="AA45" s="24"/>
      <c r="AB45" s="24"/>
      <c r="AC45" s="24"/>
    </row>
    <row r="46" spans="1:29" ht="15.75">
      <c r="A46" s="987"/>
      <c r="B46" s="7" t="s">
        <v>471</v>
      </c>
      <c r="C46" s="8" t="s">
        <v>2721</v>
      </c>
      <c r="D46" s="8">
        <f>1/D45</f>
        <v>15.666666666666668</v>
      </c>
      <c r="E46" s="9"/>
      <c r="G46" s="24"/>
      <c r="H46" s="24"/>
      <c r="I46" s="24"/>
      <c r="J46" s="24"/>
      <c r="K46" s="24"/>
      <c r="L46" s="24"/>
      <c r="M46" s="24"/>
      <c r="N46" s="24"/>
      <c r="O46" s="24"/>
      <c r="P46" s="24"/>
      <c r="Q46" s="24"/>
      <c r="R46" s="24"/>
      <c r="S46" s="24"/>
      <c r="T46" s="24"/>
      <c r="U46" s="24"/>
      <c r="V46" s="24"/>
      <c r="W46" s="24"/>
      <c r="X46" s="24"/>
      <c r="Y46" s="24"/>
      <c r="Z46" s="24"/>
      <c r="AA46" s="24"/>
      <c r="AB46" s="24"/>
      <c r="AC46" s="24"/>
    </row>
    <row r="47" spans="1:29" ht="15.75">
      <c r="A47" s="987"/>
      <c r="B47" s="7" t="s">
        <v>3062</v>
      </c>
      <c r="C47" s="8"/>
      <c r="D47" s="8">
        <f>D46+1</f>
        <v>16.666666666666668</v>
      </c>
      <c r="E47" s="9"/>
      <c r="G47" s="24"/>
      <c r="H47" s="24"/>
      <c r="I47" s="24"/>
      <c r="J47" s="24"/>
      <c r="K47" s="24"/>
      <c r="L47" s="24"/>
      <c r="M47" s="24"/>
      <c r="N47" s="24"/>
      <c r="O47" s="24"/>
      <c r="P47" s="24"/>
      <c r="Q47" s="24"/>
      <c r="R47" s="24"/>
      <c r="S47" s="24"/>
      <c r="T47" s="24"/>
      <c r="U47" s="24"/>
      <c r="V47" s="24"/>
      <c r="W47" s="24"/>
      <c r="X47" s="24"/>
      <c r="Y47" s="24"/>
      <c r="Z47" s="24"/>
      <c r="AA47" s="24"/>
      <c r="AB47" s="24"/>
      <c r="AC47" s="24"/>
    </row>
    <row r="48" spans="1:29" ht="15.75">
      <c r="A48" s="987"/>
      <c r="B48" s="7"/>
      <c r="C48" s="8"/>
      <c r="D48" s="8"/>
      <c r="E48" s="9"/>
      <c r="G48" s="24"/>
      <c r="H48" s="24"/>
      <c r="I48" s="24"/>
      <c r="J48" s="24"/>
      <c r="K48" s="24"/>
      <c r="L48" s="24"/>
      <c r="M48" s="24"/>
      <c r="N48" s="24"/>
      <c r="O48" s="24"/>
      <c r="P48" s="24"/>
      <c r="Q48" s="24"/>
      <c r="R48" s="24"/>
      <c r="S48" s="24"/>
      <c r="T48" s="24"/>
      <c r="U48" s="24"/>
      <c r="V48" s="24"/>
      <c r="W48" s="24"/>
      <c r="X48" s="24"/>
      <c r="Y48" s="24"/>
      <c r="Z48" s="24"/>
      <c r="AA48" s="24"/>
      <c r="AB48" s="24"/>
      <c r="AC48" s="24"/>
    </row>
    <row r="49" spans="1:29" ht="15.75">
      <c r="A49" s="987"/>
      <c r="B49" s="10" t="s">
        <v>3063</v>
      </c>
      <c r="C49" s="11"/>
      <c r="D49" s="934">
        <f>D40*D45</f>
        <v>9.5744680851063829E-2</v>
      </c>
      <c r="E49" s="12" t="s">
        <v>68</v>
      </c>
      <c r="G49" s="24"/>
      <c r="H49" s="24"/>
      <c r="I49" s="24"/>
      <c r="J49" s="24"/>
      <c r="K49" s="24"/>
      <c r="L49" s="24"/>
      <c r="M49" s="24"/>
      <c r="N49" s="24"/>
      <c r="O49" s="24"/>
      <c r="P49" s="24"/>
      <c r="Q49" s="24"/>
      <c r="R49" s="24"/>
      <c r="S49" s="24"/>
      <c r="T49" s="24"/>
      <c r="U49" s="24"/>
      <c r="V49" s="24"/>
      <c r="W49" s="24"/>
      <c r="X49" s="24"/>
      <c r="Y49" s="24"/>
      <c r="Z49" s="24"/>
      <c r="AA49" s="24"/>
      <c r="AB49" s="24"/>
      <c r="AC49" s="24"/>
    </row>
    <row r="50" spans="1:29" ht="15.75">
      <c r="A50" s="987"/>
      <c r="G50" s="24"/>
      <c r="H50" s="24"/>
      <c r="I50" s="24"/>
      <c r="J50" s="24"/>
      <c r="K50" s="24"/>
      <c r="L50" s="24"/>
      <c r="M50" s="24"/>
      <c r="N50" s="24"/>
      <c r="O50" s="24"/>
      <c r="P50" s="24"/>
      <c r="Q50" s="24"/>
      <c r="R50" s="24"/>
      <c r="S50" s="24"/>
      <c r="T50" s="24"/>
      <c r="U50" s="24"/>
      <c r="V50" s="24"/>
      <c r="W50" s="24"/>
      <c r="X50" s="24"/>
      <c r="Y50" s="24"/>
      <c r="Z50" s="24"/>
      <c r="AA50" s="24"/>
      <c r="AB50" s="24"/>
      <c r="AC50" s="24"/>
    </row>
    <row r="51" spans="1:29" ht="15.75">
      <c r="A51" s="987"/>
      <c r="B51" s="445" t="s">
        <v>3064</v>
      </c>
      <c r="C51" s="5"/>
      <c r="D51" s="5"/>
      <c r="E51" s="6"/>
      <c r="G51" s="24"/>
      <c r="H51" s="24"/>
      <c r="I51" s="24"/>
      <c r="J51" s="24"/>
      <c r="K51" s="24"/>
      <c r="L51" s="24"/>
      <c r="M51" s="24"/>
      <c r="N51" s="24"/>
      <c r="O51" s="24"/>
      <c r="P51" s="24"/>
      <c r="Q51" s="24"/>
      <c r="R51" s="24"/>
      <c r="S51" s="24"/>
      <c r="T51" s="24"/>
      <c r="U51" s="24"/>
      <c r="V51" s="24"/>
      <c r="W51" s="24"/>
      <c r="X51" s="24"/>
      <c r="Y51" s="24"/>
      <c r="Z51" s="24"/>
      <c r="AA51" s="24"/>
      <c r="AB51" s="24"/>
      <c r="AC51" s="24"/>
    </row>
    <row r="52" spans="1:29" ht="15.75">
      <c r="A52" s="987"/>
      <c r="B52" s="7" t="s">
        <v>2486</v>
      </c>
      <c r="C52" s="8"/>
      <c r="D52" s="8">
        <f>D42/(D39-D42)</f>
        <v>3.7344398340248962E-2</v>
      </c>
      <c r="E52" s="9"/>
      <c r="G52" s="24"/>
      <c r="H52" s="24"/>
      <c r="I52" s="24"/>
      <c r="J52" s="24"/>
      <c r="K52" s="24"/>
      <c r="L52" s="24"/>
      <c r="M52" s="24"/>
      <c r="N52" s="24"/>
      <c r="O52" s="24"/>
      <c r="P52" s="24"/>
      <c r="Q52" s="24"/>
      <c r="R52" s="24"/>
      <c r="S52" s="24"/>
      <c r="T52" s="24"/>
      <c r="U52" s="24"/>
      <c r="V52" s="24"/>
      <c r="W52" s="24"/>
      <c r="X52" s="24"/>
      <c r="Y52" s="24"/>
      <c r="Z52" s="24"/>
      <c r="AA52" s="24"/>
      <c r="AB52" s="24"/>
      <c r="AC52" s="24"/>
    </row>
    <row r="53" spans="1:29" ht="15.75">
      <c r="A53" s="987"/>
      <c r="B53" s="7" t="s">
        <v>3049</v>
      </c>
      <c r="C53" s="8" t="s">
        <v>2721</v>
      </c>
      <c r="D53" s="8">
        <f>1/D52</f>
        <v>26.777777777777779</v>
      </c>
      <c r="E53" s="9"/>
      <c r="G53" s="24"/>
      <c r="H53" s="24"/>
      <c r="I53" s="24"/>
      <c r="J53" s="24"/>
      <c r="K53" s="24"/>
      <c r="L53" s="24"/>
      <c r="M53" s="24"/>
      <c r="N53" s="24"/>
      <c r="O53" s="24"/>
      <c r="P53" s="24"/>
      <c r="Q53" s="24"/>
      <c r="R53" s="24"/>
      <c r="S53" s="24"/>
      <c r="T53" s="24"/>
      <c r="U53" s="24"/>
      <c r="V53" s="24"/>
      <c r="W53" s="24"/>
      <c r="X53" s="24"/>
      <c r="Y53" s="24"/>
      <c r="Z53" s="24"/>
      <c r="AA53" s="24"/>
      <c r="AB53" s="24"/>
      <c r="AC53" s="24"/>
    </row>
    <row r="54" spans="1:29" ht="15.75">
      <c r="A54" s="987"/>
      <c r="B54" s="7" t="s">
        <v>3062</v>
      </c>
      <c r="C54" s="8"/>
      <c r="D54" s="8">
        <f>D53+1</f>
        <v>27.777777777777779</v>
      </c>
      <c r="E54" s="9"/>
      <c r="G54" s="24"/>
      <c r="H54" s="24"/>
      <c r="I54" s="24"/>
      <c r="J54" s="24"/>
      <c r="K54" s="24"/>
      <c r="L54" s="24"/>
      <c r="M54" s="24"/>
      <c r="N54" s="24"/>
      <c r="O54" s="24"/>
      <c r="P54" s="24"/>
      <c r="Q54" s="24"/>
      <c r="R54" s="24"/>
      <c r="S54" s="24"/>
      <c r="T54" s="24"/>
      <c r="U54" s="24"/>
      <c r="V54" s="24"/>
      <c r="W54" s="24"/>
      <c r="X54" s="24"/>
      <c r="Y54" s="24"/>
      <c r="Z54" s="24"/>
      <c r="AA54" s="24"/>
      <c r="AB54" s="24"/>
      <c r="AC54" s="24"/>
    </row>
    <row r="55" spans="1:29" ht="15.75">
      <c r="A55" s="987"/>
      <c r="B55" s="7"/>
      <c r="C55" s="8"/>
      <c r="D55" s="8"/>
      <c r="E55" s="9"/>
      <c r="G55" s="24"/>
      <c r="H55" s="24"/>
      <c r="I55" s="24"/>
      <c r="J55" s="24"/>
      <c r="K55" s="24"/>
      <c r="L55" s="24"/>
      <c r="M55" s="24"/>
      <c r="N55" s="24"/>
      <c r="O55" s="24"/>
      <c r="P55" s="24"/>
      <c r="Q55" s="24"/>
      <c r="R55" s="24"/>
      <c r="S55" s="24"/>
      <c r="T55" s="24"/>
      <c r="U55" s="24"/>
      <c r="V55" s="24"/>
      <c r="W55" s="24"/>
      <c r="X55" s="24"/>
      <c r="Y55" s="24"/>
      <c r="Z55" s="24"/>
      <c r="AA55" s="24"/>
      <c r="AB55" s="24"/>
      <c r="AC55" s="24"/>
    </row>
    <row r="56" spans="1:29" ht="15.75">
      <c r="A56" s="987"/>
      <c r="B56" s="10" t="s">
        <v>3063</v>
      </c>
      <c r="C56" s="11"/>
      <c r="D56" s="934">
        <f>D40*D52</f>
        <v>5.6016597510373439E-2</v>
      </c>
      <c r="E56" s="12" t="s">
        <v>68</v>
      </c>
      <c r="G56" s="24"/>
      <c r="H56" s="24"/>
      <c r="I56" s="24"/>
      <c r="J56" s="24"/>
      <c r="K56" s="24"/>
      <c r="L56" s="24"/>
      <c r="M56" s="24"/>
      <c r="N56" s="24"/>
      <c r="O56" s="24"/>
      <c r="P56" s="24"/>
      <c r="Q56" s="24"/>
      <c r="R56" s="24"/>
      <c r="S56" s="24"/>
      <c r="T56" s="24"/>
      <c r="U56" s="24"/>
      <c r="V56" s="24"/>
      <c r="W56" s="24"/>
      <c r="X56" s="24"/>
      <c r="Y56" s="24"/>
      <c r="Z56" s="24"/>
      <c r="AA56" s="24"/>
      <c r="AB56" s="24"/>
      <c r="AC56" s="24"/>
    </row>
    <row r="57" spans="1:29" ht="15.75">
      <c r="A57" s="987"/>
      <c r="G57" s="24"/>
      <c r="H57" s="24"/>
      <c r="I57" s="24"/>
      <c r="J57" s="24"/>
      <c r="K57" s="24"/>
      <c r="L57" s="24"/>
      <c r="M57" s="24"/>
      <c r="N57" s="24"/>
      <c r="O57" s="24"/>
      <c r="P57" s="24"/>
      <c r="Q57" s="24"/>
      <c r="R57" s="24"/>
      <c r="S57" s="24"/>
      <c r="T57" s="24"/>
      <c r="U57" s="24"/>
      <c r="V57" s="24"/>
      <c r="W57" s="24"/>
      <c r="X57" s="24"/>
      <c r="Y57" s="24"/>
      <c r="Z57" s="24"/>
      <c r="AA57" s="24"/>
      <c r="AB57" s="24"/>
      <c r="AC57" s="24"/>
    </row>
    <row r="58" spans="1:29" ht="15.75">
      <c r="A58" s="987"/>
      <c r="G58" s="24"/>
      <c r="H58" s="24"/>
      <c r="I58" s="24"/>
      <c r="J58" s="24"/>
      <c r="K58" s="24"/>
      <c r="L58" s="24"/>
      <c r="M58" s="24"/>
      <c r="N58" s="24"/>
      <c r="O58" s="24"/>
      <c r="P58" s="24"/>
      <c r="Q58" s="24"/>
      <c r="R58" s="24"/>
      <c r="S58" s="24"/>
      <c r="T58" s="24"/>
      <c r="U58" s="24"/>
      <c r="V58" s="24"/>
      <c r="W58" s="24"/>
      <c r="X58" s="24"/>
      <c r="Y58" s="24"/>
      <c r="Z58" s="24"/>
      <c r="AA58" s="24"/>
      <c r="AB58" s="24"/>
      <c r="AC58" s="24"/>
    </row>
    <row r="59" spans="1:29" ht="15.75">
      <c r="A59" s="987"/>
      <c r="B59" s="298" t="s">
        <v>3065</v>
      </c>
      <c r="C59" s="298"/>
      <c r="G59" s="24"/>
      <c r="H59" s="24"/>
      <c r="I59" s="24"/>
      <c r="J59" s="24"/>
      <c r="K59" s="24"/>
      <c r="L59" s="24"/>
      <c r="M59" s="24"/>
      <c r="N59" s="24"/>
      <c r="O59" s="24"/>
      <c r="P59" s="24"/>
      <c r="Q59" s="24"/>
      <c r="R59" s="24"/>
      <c r="S59" s="24"/>
      <c r="T59" s="24"/>
      <c r="U59" s="24"/>
      <c r="V59" s="24"/>
      <c r="W59" s="24"/>
      <c r="X59" s="24"/>
      <c r="Y59" s="24"/>
      <c r="Z59" s="24"/>
      <c r="AA59" s="24"/>
      <c r="AB59" s="24"/>
      <c r="AC59" s="24"/>
    </row>
    <row r="60" spans="1:29">
      <c r="A60" s="56"/>
      <c r="G60" s="24"/>
      <c r="H60" s="24"/>
      <c r="I60" s="24"/>
      <c r="J60" s="24"/>
      <c r="K60" s="24"/>
      <c r="L60" s="24"/>
      <c r="M60" s="24"/>
      <c r="N60" s="24"/>
      <c r="O60" s="24"/>
      <c r="P60" s="24"/>
      <c r="Q60" s="24"/>
      <c r="R60" s="24"/>
      <c r="S60" s="24"/>
      <c r="T60" s="24"/>
      <c r="U60" s="24"/>
      <c r="V60" s="24"/>
      <c r="W60" s="24"/>
      <c r="X60" s="24"/>
      <c r="Y60" s="24"/>
      <c r="Z60" s="24"/>
      <c r="AA60" s="24"/>
      <c r="AB60" s="24"/>
      <c r="AC60" s="24"/>
    </row>
    <row r="61" spans="1:29">
      <c r="A61" s="56"/>
      <c r="B61" t="s">
        <v>282</v>
      </c>
      <c r="D61">
        <f>D49/D56</f>
        <v>1.7092198581560285</v>
      </c>
      <c r="G61" s="24"/>
      <c r="H61" s="24"/>
      <c r="I61" s="24"/>
      <c r="J61" s="24"/>
      <c r="K61" s="24"/>
      <c r="L61" s="24"/>
      <c r="M61" s="24"/>
      <c r="N61" s="24"/>
      <c r="O61" s="24"/>
      <c r="P61" s="24"/>
      <c r="Q61" s="24"/>
      <c r="R61" s="24"/>
      <c r="S61" s="24"/>
      <c r="T61" s="24"/>
      <c r="U61" s="24"/>
      <c r="V61" s="24"/>
      <c r="W61" s="24"/>
      <c r="X61" s="24"/>
      <c r="Y61" s="24"/>
      <c r="Z61" s="24"/>
      <c r="AA61" s="24"/>
      <c r="AB61" s="24"/>
      <c r="AC61" s="24"/>
    </row>
    <row r="62" spans="1:29">
      <c r="A62" s="56"/>
      <c r="B62" t="s">
        <v>3066</v>
      </c>
      <c r="D62">
        <f>1/D61</f>
        <v>0.58506224066390033</v>
      </c>
      <c r="G62" s="24"/>
      <c r="H62" s="24"/>
      <c r="I62" s="24"/>
      <c r="J62" s="24"/>
      <c r="K62" s="24"/>
      <c r="L62" s="24"/>
      <c r="M62" s="24"/>
      <c r="N62" s="24"/>
      <c r="O62" s="24"/>
      <c r="P62" s="24"/>
      <c r="Q62" s="24"/>
      <c r="R62" s="24"/>
      <c r="S62" s="24"/>
      <c r="T62" s="24"/>
      <c r="U62" s="24"/>
      <c r="V62" s="24"/>
      <c r="W62" s="24"/>
      <c r="X62" s="24"/>
      <c r="Y62" s="24"/>
      <c r="Z62" s="24"/>
      <c r="AA62" s="24"/>
      <c r="AB62" s="24"/>
      <c r="AC62" s="24"/>
    </row>
    <row r="63" spans="1:29">
      <c r="A63" s="56"/>
      <c r="G63" s="24"/>
      <c r="H63" s="24"/>
      <c r="I63" s="24"/>
      <c r="J63" s="24"/>
      <c r="K63" s="24"/>
      <c r="L63" s="24"/>
      <c r="M63" s="24"/>
      <c r="N63" s="24"/>
      <c r="O63" s="24"/>
      <c r="P63" s="24"/>
      <c r="Q63" s="24"/>
      <c r="R63" s="24"/>
      <c r="S63" s="24"/>
      <c r="T63" s="24"/>
      <c r="U63" s="24"/>
      <c r="V63" s="24"/>
      <c r="W63" s="24"/>
      <c r="X63" s="24"/>
      <c r="Y63" s="24"/>
      <c r="Z63" s="24"/>
      <c r="AA63" s="24"/>
      <c r="AB63" s="24"/>
      <c r="AC63" s="24"/>
    </row>
    <row r="64" spans="1:29">
      <c r="A64" s="56"/>
      <c r="B64" t="s">
        <v>592</v>
      </c>
      <c r="D64">
        <f>D61</f>
        <v>1.7092198581560285</v>
      </c>
      <c r="E64" t="s">
        <v>3067</v>
      </c>
      <c r="G64" s="24"/>
      <c r="H64" s="24"/>
      <c r="I64" s="24"/>
      <c r="J64" s="24"/>
      <c r="K64" s="24"/>
      <c r="L64" s="24"/>
      <c r="M64" s="24"/>
      <c r="N64" s="24"/>
      <c r="O64" s="24"/>
      <c r="P64" s="24"/>
      <c r="Q64" s="24"/>
      <c r="R64" s="24"/>
      <c r="S64" s="24"/>
      <c r="T64" s="24"/>
      <c r="U64" s="24"/>
      <c r="V64" s="24"/>
      <c r="W64" s="24"/>
      <c r="X64" s="24"/>
      <c r="Y64" s="24"/>
      <c r="Z64" s="24"/>
      <c r="AA64" s="24"/>
      <c r="AB64" s="24"/>
      <c r="AC64" s="24"/>
    </row>
    <row r="65" spans="1:29">
      <c r="A65" s="56"/>
      <c r="G65" s="24"/>
      <c r="H65" s="24"/>
      <c r="I65" s="24"/>
      <c r="J65" s="24"/>
      <c r="K65" s="24"/>
      <c r="L65" s="24"/>
      <c r="M65" s="24"/>
      <c r="N65" s="24"/>
      <c r="O65" s="24"/>
      <c r="P65" s="24"/>
      <c r="Q65" s="24"/>
      <c r="R65" s="24"/>
      <c r="S65" s="24"/>
      <c r="T65" s="24"/>
      <c r="U65" s="24"/>
      <c r="V65" s="24"/>
      <c r="W65" s="24"/>
      <c r="X65" s="24"/>
      <c r="Y65" s="24"/>
      <c r="Z65" s="24"/>
      <c r="AA65" s="24"/>
      <c r="AB65" s="24"/>
      <c r="AC65" s="24"/>
    </row>
    <row r="66" spans="1:29">
      <c r="A66" s="56"/>
      <c r="B66" s="298"/>
      <c r="C66" s="298"/>
      <c r="D66" s="298"/>
      <c r="G66" s="24"/>
      <c r="H66" s="24"/>
      <c r="I66" s="24"/>
      <c r="J66" s="24"/>
      <c r="K66" s="24"/>
      <c r="L66" s="24"/>
      <c r="M66" s="24"/>
      <c r="N66" s="24"/>
      <c r="O66" s="24"/>
      <c r="P66" s="24"/>
      <c r="Q66" s="24"/>
      <c r="R66" s="24"/>
      <c r="S66" s="24"/>
      <c r="T66" s="24"/>
      <c r="U66" s="24"/>
      <c r="V66" s="24"/>
      <c r="W66" s="24"/>
      <c r="X66" s="24"/>
      <c r="Y66" s="24"/>
      <c r="Z66" s="24"/>
      <c r="AA66" s="24"/>
      <c r="AB66" s="24"/>
      <c r="AC66" s="24"/>
    </row>
    <row r="67" spans="1:29">
      <c r="A67" s="56"/>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15.75">
      <c r="A68" s="987"/>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15.75">
      <c r="A69" s="987" t="s">
        <v>389</v>
      </c>
      <c r="B69" s="995" t="s">
        <v>3068</v>
      </c>
      <c r="C69" s="995"/>
      <c r="D69" s="995"/>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15.75">
      <c r="E70" s="995"/>
      <c r="G70" s="24"/>
      <c r="H70" s="24"/>
      <c r="I70" s="24"/>
      <c r="J70" s="24"/>
      <c r="K70" s="24"/>
      <c r="L70" s="24"/>
      <c r="M70" s="24"/>
      <c r="N70" s="24"/>
      <c r="O70" s="24"/>
      <c r="P70" s="24"/>
      <c r="Q70" s="24"/>
      <c r="R70" s="24"/>
      <c r="S70" s="24"/>
      <c r="T70" s="24"/>
      <c r="U70" s="24"/>
      <c r="V70" s="24"/>
      <c r="W70" s="24"/>
      <c r="X70" s="24"/>
      <c r="Y70" s="24"/>
      <c r="Z70" s="24"/>
      <c r="AA70" s="24"/>
      <c r="AB70" s="24"/>
      <c r="AC70" s="24"/>
    </row>
    <row r="71" spans="1:29" ht="15.75">
      <c r="A71" s="987"/>
      <c r="D71" s="319" t="s">
        <v>3069</v>
      </c>
      <c r="E71" s="319"/>
      <c r="F71" s="319" t="s">
        <v>3070</v>
      </c>
      <c r="G71" s="319"/>
      <c r="H71" s="319" t="s">
        <v>3071</v>
      </c>
      <c r="I71" s="319"/>
      <c r="J71" s="319" t="s">
        <v>3072</v>
      </c>
      <c r="K71" s="319"/>
      <c r="L71" s="319" t="s">
        <v>3073</v>
      </c>
      <c r="M71" s="319"/>
      <c r="N71" s="319" t="s">
        <v>3074</v>
      </c>
      <c r="P71" s="319" t="s">
        <v>3075</v>
      </c>
      <c r="R71" s="24"/>
      <c r="S71" s="24"/>
      <c r="T71" s="24"/>
      <c r="U71" s="24"/>
      <c r="V71" s="24"/>
      <c r="W71" s="24"/>
      <c r="X71" s="24"/>
      <c r="Y71" s="24"/>
      <c r="Z71" s="24"/>
      <c r="AA71" s="24"/>
      <c r="AB71" s="24"/>
      <c r="AC71" s="24"/>
    </row>
    <row r="72" spans="1:29" ht="15.75">
      <c r="A72" s="987"/>
      <c r="B72" t="s">
        <v>3058</v>
      </c>
      <c r="D72" s="235">
        <v>10</v>
      </c>
      <c r="E72" t="s">
        <v>68</v>
      </c>
      <c r="F72" s="32">
        <f>$D$72</f>
        <v>10</v>
      </c>
      <c r="G72" t="s">
        <v>68</v>
      </c>
      <c r="H72" s="32">
        <f>$D$72</f>
        <v>10</v>
      </c>
      <c r="I72" t="s">
        <v>68</v>
      </c>
      <c r="J72" s="32">
        <f>$D$72</f>
        <v>10</v>
      </c>
      <c r="K72" t="s">
        <v>68</v>
      </c>
      <c r="L72" s="32">
        <f>$D$72</f>
        <v>10</v>
      </c>
      <c r="M72" t="s">
        <v>68</v>
      </c>
      <c r="N72" s="32">
        <f>$D$72</f>
        <v>10</v>
      </c>
      <c r="O72" t="s">
        <v>68</v>
      </c>
      <c r="P72" s="32">
        <f>$D$72</f>
        <v>10</v>
      </c>
      <c r="Q72" t="s">
        <v>68</v>
      </c>
      <c r="R72" s="24"/>
      <c r="S72" s="24"/>
      <c r="T72" s="24"/>
      <c r="U72" s="24"/>
      <c r="V72" s="24"/>
      <c r="W72" s="24"/>
      <c r="X72" s="24"/>
      <c r="Y72" s="24"/>
      <c r="Z72" s="24"/>
      <c r="AA72" s="24"/>
      <c r="AB72" s="24"/>
      <c r="AC72" s="24"/>
    </row>
    <row r="73" spans="1:29" ht="15.75">
      <c r="A73" s="359"/>
      <c r="B73" t="s">
        <v>3059</v>
      </c>
      <c r="D73" s="235">
        <v>15</v>
      </c>
      <c r="E73" t="s">
        <v>68</v>
      </c>
      <c r="F73" s="32">
        <f>$D$73</f>
        <v>15</v>
      </c>
      <c r="G73" t="s">
        <v>68</v>
      </c>
      <c r="H73" s="32">
        <f>$D$73</f>
        <v>15</v>
      </c>
      <c r="I73" t="s">
        <v>68</v>
      </c>
      <c r="J73" s="32">
        <f>$D$73</f>
        <v>15</v>
      </c>
      <c r="K73" t="s">
        <v>68</v>
      </c>
      <c r="L73" s="32">
        <f>$D$73</f>
        <v>15</v>
      </c>
      <c r="M73" t="s">
        <v>68</v>
      </c>
      <c r="N73" s="32">
        <f>$D$73</f>
        <v>15</v>
      </c>
      <c r="O73" t="s">
        <v>68</v>
      </c>
      <c r="P73" s="32">
        <f>$D$73</f>
        <v>15</v>
      </c>
      <c r="Q73" t="s">
        <v>68</v>
      </c>
      <c r="R73" s="24"/>
      <c r="S73" s="24"/>
      <c r="T73" s="24"/>
      <c r="U73" s="24"/>
      <c r="V73" s="24"/>
      <c r="W73" s="24"/>
      <c r="X73" s="24"/>
      <c r="Y73" s="24"/>
      <c r="Z73" s="24"/>
      <c r="AA73" s="24"/>
      <c r="AB73" s="24"/>
      <c r="AC73" s="24"/>
    </row>
    <row r="74" spans="1:29" ht="15.75">
      <c r="A74" s="359"/>
      <c r="B74" t="s">
        <v>3045</v>
      </c>
      <c r="D74" s="235">
        <v>4</v>
      </c>
      <c r="E74" t="s">
        <v>68</v>
      </c>
      <c r="F74" s="32">
        <f>$D$74</f>
        <v>4</v>
      </c>
      <c r="G74" t="s">
        <v>68</v>
      </c>
      <c r="H74" s="32">
        <f>$D$74</f>
        <v>4</v>
      </c>
      <c r="I74" t="s">
        <v>68</v>
      </c>
      <c r="J74" s="32">
        <f>$D$74</f>
        <v>4</v>
      </c>
      <c r="K74" t="s">
        <v>68</v>
      </c>
      <c r="L74" s="32">
        <f>$D$74</f>
        <v>4</v>
      </c>
      <c r="M74" t="s">
        <v>68</v>
      </c>
      <c r="N74" s="32">
        <f>$D$74</f>
        <v>4</v>
      </c>
      <c r="O74" t="s">
        <v>68</v>
      </c>
      <c r="P74" s="32">
        <f>$D$74</f>
        <v>4</v>
      </c>
      <c r="Q74" t="s">
        <v>68</v>
      </c>
      <c r="R74" s="24"/>
      <c r="S74" s="24"/>
      <c r="T74" s="24"/>
      <c r="U74" s="24"/>
      <c r="V74" s="24"/>
      <c r="W74" s="24"/>
      <c r="X74" s="24"/>
      <c r="Y74" s="24"/>
      <c r="Z74" s="24"/>
      <c r="AA74" s="24"/>
      <c r="AB74" s="24"/>
      <c r="AC74" s="24"/>
    </row>
    <row r="75" spans="1:29" ht="15.75">
      <c r="A75" s="359"/>
      <c r="B75" t="s">
        <v>3060</v>
      </c>
      <c r="D75" s="32">
        <f>D73-D72</f>
        <v>5</v>
      </c>
      <c r="E75" t="s">
        <v>68</v>
      </c>
      <c r="F75" s="32">
        <f>F73-F72</f>
        <v>5</v>
      </c>
      <c r="G75" t="s">
        <v>68</v>
      </c>
      <c r="H75" s="32">
        <f>H73-H72</f>
        <v>5</v>
      </c>
      <c r="I75" t="s">
        <v>68</v>
      </c>
      <c r="J75" s="32">
        <f>J73-J72</f>
        <v>5</v>
      </c>
      <c r="K75" t="s">
        <v>68</v>
      </c>
      <c r="L75" s="32">
        <f>L73-L72</f>
        <v>5</v>
      </c>
      <c r="M75" t="s">
        <v>68</v>
      </c>
      <c r="N75" s="32">
        <f>N73-N72</f>
        <v>5</v>
      </c>
      <c r="O75" t="s">
        <v>68</v>
      </c>
      <c r="P75" s="32">
        <f>P73-P72</f>
        <v>5</v>
      </c>
      <c r="Q75" t="s">
        <v>68</v>
      </c>
      <c r="R75" s="24"/>
      <c r="S75" s="24"/>
      <c r="T75" s="24"/>
      <c r="U75" s="24"/>
      <c r="V75" s="24"/>
      <c r="W75" s="24"/>
      <c r="X75" s="24"/>
      <c r="Y75" s="24"/>
      <c r="Z75" s="24"/>
      <c r="AA75" s="24"/>
      <c r="AB75" s="24"/>
      <c r="AC75" s="24"/>
    </row>
    <row r="76" spans="1:29" ht="15.75">
      <c r="A76" s="359"/>
      <c r="B76" t="s">
        <v>1588</v>
      </c>
      <c r="D76" s="232">
        <v>0.05</v>
      </c>
      <c r="E76" t="s">
        <v>68</v>
      </c>
      <c r="F76" s="232">
        <v>0.08</v>
      </c>
      <c r="G76" t="s">
        <v>68</v>
      </c>
      <c r="H76" s="232">
        <v>0.13500000000000001</v>
      </c>
      <c r="I76" t="s">
        <v>68</v>
      </c>
      <c r="J76" s="232">
        <v>0.18</v>
      </c>
      <c r="K76" t="s">
        <v>68</v>
      </c>
      <c r="L76" s="232">
        <v>0.24</v>
      </c>
      <c r="M76" t="s">
        <v>68</v>
      </c>
      <c r="N76" s="232">
        <v>0.3</v>
      </c>
      <c r="O76" t="s">
        <v>68</v>
      </c>
      <c r="P76" s="232">
        <v>0.5</v>
      </c>
      <c r="Q76" t="s">
        <v>68</v>
      </c>
      <c r="R76" s="24"/>
      <c r="S76" s="24"/>
      <c r="T76" s="24"/>
      <c r="U76" s="24"/>
      <c r="V76" s="24"/>
      <c r="W76" s="24"/>
      <c r="X76" s="24"/>
      <c r="Y76" s="24"/>
      <c r="Z76" s="24"/>
      <c r="AA76" s="24"/>
      <c r="AB76" s="24"/>
      <c r="AC76" s="24"/>
    </row>
    <row r="77" spans="1:29" ht="15.75">
      <c r="A77" s="359"/>
      <c r="R77" s="24"/>
      <c r="S77" s="24"/>
      <c r="T77" s="24"/>
      <c r="U77" s="24"/>
      <c r="V77" s="24"/>
      <c r="W77" s="24"/>
      <c r="X77" s="24"/>
      <c r="Y77" s="24"/>
      <c r="Z77" s="24"/>
      <c r="AA77" s="24"/>
      <c r="AB77" s="24"/>
      <c r="AC77" s="24"/>
    </row>
    <row r="78" spans="1:29" ht="15.75">
      <c r="A78" s="359"/>
      <c r="B78" s="445" t="s">
        <v>3061</v>
      </c>
      <c r="C78" s="5"/>
      <c r="D78" s="5"/>
      <c r="E78" s="6"/>
      <c r="F78" s="5"/>
      <c r="G78" s="6"/>
      <c r="H78" s="5"/>
      <c r="I78" s="6"/>
      <c r="J78" s="5"/>
      <c r="K78" s="6"/>
      <c r="L78" s="5"/>
      <c r="M78" s="6"/>
      <c r="N78" s="5"/>
      <c r="O78" s="6"/>
      <c r="P78" s="5"/>
      <c r="Q78" s="6"/>
      <c r="R78" s="24"/>
      <c r="S78" s="24"/>
      <c r="T78" s="24"/>
      <c r="U78" s="24"/>
      <c r="V78" s="24"/>
      <c r="W78" s="24"/>
      <c r="X78" s="24"/>
      <c r="Y78" s="24"/>
      <c r="Z78" s="24"/>
      <c r="AA78" s="24"/>
      <c r="AB78" s="24"/>
      <c r="AC78" s="24"/>
    </row>
    <row r="79" spans="1:29" ht="15.75">
      <c r="A79" s="359"/>
      <c r="B79" s="7" t="s">
        <v>2486</v>
      </c>
      <c r="C79" s="8"/>
      <c r="D79" s="8">
        <f>D76/(D72-D76)</f>
        <v>5.0251256281407045E-3</v>
      </c>
      <c r="E79" s="9"/>
      <c r="F79" s="8">
        <f>F76/(F72-F76)</f>
        <v>8.0645161290322578E-3</v>
      </c>
      <c r="G79" s="9"/>
      <c r="H79" s="8">
        <f>H76/(H72-H76)</f>
        <v>1.368474404460213E-2</v>
      </c>
      <c r="I79" s="9"/>
      <c r="J79" s="8">
        <f>J76/(J72-J76)</f>
        <v>1.8329938900203666E-2</v>
      </c>
      <c r="K79" s="9"/>
      <c r="L79" s="8">
        <f>L76/(L72-L76)</f>
        <v>2.4590163934426229E-2</v>
      </c>
      <c r="M79" s="9"/>
      <c r="N79" s="8">
        <f>N76/(N72-N76)</f>
        <v>3.0927835051546393E-2</v>
      </c>
      <c r="O79" s="9"/>
      <c r="P79" s="8">
        <f>P76/(P72-P76)</f>
        <v>5.2631578947368418E-2</v>
      </c>
      <c r="Q79" s="9"/>
      <c r="R79" s="24"/>
      <c r="S79" s="24"/>
      <c r="T79" s="24"/>
      <c r="U79" s="24"/>
      <c r="V79" s="24"/>
      <c r="W79" s="24"/>
      <c r="X79" s="24"/>
      <c r="Y79" s="24"/>
      <c r="Z79" s="24"/>
      <c r="AA79" s="24"/>
      <c r="AB79" s="24"/>
      <c r="AC79" s="24"/>
    </row>
    <row r="80" spans="1:29" ht="15.75">
      <c r="A80" s="359"/>
      <c r="B80" s="7" t="s">
        <v>471</v>
      </c>
      <c r="C80" s="8" t="s">
        <v>2721</v>
      </c>
      <c r="D80" s="8">
        <f>1/D79</f>
        <v>198.99999999999997</v>
      </c>
      <c r="E80" s="9"/>
      <c r="F80" s="8">
        <f>1/F79</f>
        <v>124</v>
      </c>
      <c r="G80" s="9"/>
      <c r="H80" s="8">
        <f>1/H79</f>
        <v>73.074074074074062</v>
      </c>
      <c r="I80" s="9"/>
      <c r="J80" s="8">
        <f>1/J79</f>
        <v>54.555555555555557</v>
      </c>
      <c r="K80" s="9"/>
      <c r="L80" s="8">
        <f>1/L79</f>
        <v>40.666666666666664</v>
      </c>
      <c r="M80" s="9"/>
      <c r="N80" s="8">
        <f>1/N79</f>
        <v>32.333333333333329</v>
      </c>
      <c r="O80" s="9"/>
      <c r="P80" s="8">
        <f>1/P79</f>
        <v>19</v>
      </c>
      <c r="Q80" s="9"/>
      <c r="R80" s="24"/>
      <c r="S80" s="24"/>
      <c r="T80" s="24"/>
      <c r="U80" s="24"/>
      <c r="V80" s="24"/>
      <c r="W80" s="24"/>
      <c r="X80" s="24"/>
      <c r="Y80" s="24"/>
      <c r="Z80" s="24"/>
      <c r="AA80" s="24"/>
      <c r="AB80" s="24"/>
      <c r="AC80" s="24"/>
    </row>
    <row r="81" spans="1:29" ht="15.75">
      <c r="A81" s="359"/>
      <c r="B81" s="7" t="s">
        <v>3062</v>
      </c>
      <c r="C81" s="8"/>
      <c r="D81" s="8">
        <f>D80+1</f>
        <v>199.99999999999997</v>
      </c>
      <c r="E81" s="9"/>
      <c r="F81" s="8">
        <f>F80+1</f>
        <v>125</v>
      </c>
      <c r="G81" s="9"/>
      <c r="H81" s="8">
        <f>H80+1</f>
        <v>74.074074074074062</v>
      </c>
      <c r="I81" s="9"/>
      <c r="J81" s="8">
        <f>J80+1</f>
        <v>55.555555555555557</v>
      </c>
      <c r="K81" s="9"/>
      <c r="L81" s="8">
        <f>L80+1</f>
        <v>41.666666666666664</v>
      </c>
      <c r="M81" s="9"/>
      <c r="N81" s="8">
        <f>N80+1</f>
        <v>33.333333333333329</v>
      </c>
      <c r="O81" s="9"/>
      <c r="P81" s="8">
        <f>P80+1</f>
        <v>20</v>
      </c>
      <c r="Q81" s="9"/>
      <c r="R81" s="24"/>
      <c r="S81" s="24"/>
      <c r="T81" s="24"/>
      <c r="U81" s="24"/>
      <c r="V81" s="24"/>
      <c r="W81" s="24"/>
      <c r="X81" s="24"/>
      <c r="Y81" s="24"/>
      <c r="Z81" s="24"/>
      <c r="AA81" s="24"/>
      <c r="AB81" s="24"/>
      <c r="AC81" s="24"/>
    </row>
    <row r="82" spans="1:29" ht="15.75">
      <c r="A82" s="359"/>
      <c r="B82" s="7"/>
      <c r="C82" s="8"/>
      <c r="D82" s="8"/>
      <c r="E82" s="9"/>
      <c r="F82" s="8"/>
      <c r="G82" s="9"/>
      <c r="H82" s="8"/>
      <c r="I82" s="9"/>
      <c r="J82" s="8"/>
      <c r="K82" s="9"/>
      <c r="L82" s="8"/>
      <c r="M82" s="9"/>
      <c r="N82" s="8"/>
      <c r="O82" s="9"/>
      <c r="P82" s="8"/>
      <c r="Q82" s="9"/>
      <c r="R82" s="24"/>
      <c r="S82" s="24"/>
      <c r="T82" s="24"/>
      <c r="U82" s="24"/>
      <c r="V82" s="24"/>
      <c r="W82" s="24"/>
      <c r="X82" s="24"/>
      <c r="Y82" s="24"/>
      <c r="Z82" s="24"/>
      <c r="AA82" s="24"/>
      <c r="AB82" s="24"/>
      <c r="AC82" s="24"/>
    </row>
    <row r="83" spans="1:29" ht="15.75">
      <c r="A83" s="359"/>
      <c r="B83" s="10" t="s">
        <v>3063</v>
      </c>
      <c r="C83" s="11"/>
      <c r="D83" s="934">
        <f>D74*D79</f>
        <v>2.0100502512562818E-2</v>
      </c>
      <c r="E83" s="12"/>
      <c r="F83" s="934">
        <f>F74*F79</f>
        <v>3.2258064516129031E-2</v>
      </c>
      <c r="G83" s="12"/>
      <c r="H83" s="934">
        <f>H74*H79</f>
        <v>5.4738976178408519E-2</v>
      </c>
      <c r="I83" s="12"/>
      <c r="J83" s="934">
        <f>J74*J79</f>
        <v>7.3319755600814662E-2</v>
      </c>
      <c r="K83" s="12"/>
      <c r="L83" s="934">
        <f>L74*L79</f>
        <v>9.8360655737704916E-2</v>
      </c>
      <c r="M83" s="12"/>
      <c r="N83" s="934">
        <f>N74*N79</f>
        <v>0.12371134020618557</v>
      </c>
      <c r="O83" s="12"/>
      <c r="P83" s="934">
        <f>P74*P79</f>
        <v>0.21052631578947367</v>
      </c>
      <c r="Q83" s="12"/>
      <c r="R83" s="24"/>
      <c r="S83" s="24"/>
      <c r="T83" s="24"/>
      <c r="U83" s="24"/>
      <c r="V83" s="24"/>
      <c r="W83" s="24"/>
      <c r="X83" s="24"/>
      <c r="Y83" s="24"/>
      <c r="Z83" s="24"/>
      <c r="AA83" s="24"/>
      <c r="AB83" s="24"/>
      <c r="AC83" s="24"/>
    </row>
    <row r="84" spans="1:29" ht="15.75">
      <c r="A84" s="359"/>
      <c r="R84" s="24"/>
      <c r="S84" s="24"/>
      <c r="T84" s="24"/>
      <c r="U84" s="24"/>
      <c r="V84" s="24"/>
      <c r="W84" s="24"/>
      <c r="X84" s="24"/>
      <c r="Y84" s="24"/>
      <c r="Z84" s="24"/>
      <c r="AA84" s="24"/>
      <c r="AB84" s="24"/>
      <c r="AC84" s="24"/>
    </row>
    <row r="85" spans="1:29" ht="15.75">
      <c r="A85" s="359"/>
      <c r="B85" s="445" t="s">
        <v>3064</v>
      </c>
      <c r="C85" s="5"/>
      <c r="D85" s="5"/>
      <c r="E85" s="6"/>
      <c r="F85" s="5"/>
      <c r="G85" s="6"/>
      <c r="H85" s="5"/>
      <c r="I85" s="6"/>
      <c r="J85" s="5"/>
      <c r="K85" s="6"/>
      <c r="L85" s="5"/>
      <c r="M85" s="6"/>
      <c r="N85" s="5"/>
      <c r="O85" s="6"/>
      <c r="P85" s="5"/>
      <c r="Q85" s="6"/>
      <c r="R85" s="24"/>
      <c r="S85" s="24"/>
      <c r="T85" s="24"/>
      <c r="U85" s="24"/>
      <c r="V85" s="24"/>
      <c r="W85" s="24"/>
      <c r="X85" s="24"/>
      <c r="Y85" s="24"/>
      <c r="Z85" s="24"/>
      <c r="AA85" s="24"/>
      <c r="AB85" s="24"/>
      <c r="AC85" s="24"/>
    </row>
    <row r="86" spans="1:29" ht="15.75">
      <c r="A86" s="359"/>
      <c r="B86" s="7" t="s">
        <v>2486</v>
      </c>
      <c r="C86" s="8"/>
      <c r="D86" s="8">
        <f>D76/(D73-D76)</f>
        <v>3.3444816053511709E-3</v>
      </c>
      <c r="E86" s="9"/>
      <c r="F86" s="8">
        <f>F76/(F73-F76)</f>
        <v>5.3619302949061663E-3</v>
      </c>
      <c r="G86" s="9"/>
      <c r="H86" s="8">
        <f>H76/(H73-H76)</f>
        <v>9.0817356205852677E-3</v>
      </c>
      <c r="I86" s="9"/>
      <c r="J86" s="8">
        <f>J76/(J73-J76)</f>
        <v>1.2145748987854251E-2</v>
      </c>
      <c r="K86" s="9"/>
      <c r="L86" s="8">
        <f>L76/(L73-L76)</f>
        <v>1.6260162601626015E-2</v>
      </c>
      <c r="M86" s="9"/>
      <c r="N86" s="8">
        <f>N76/(N73-N76)</f>
        <v>2.0408163265306124E-2</v>
      </c>
      <c r="O86" s="9"/>
      <c r="P86" s="8">
        <f>P76/(P73-P76)</f>
        <v>3.4482758620689655E-2</v>
      </c>
      <c r="Q86" s="9"/>
      <c r="R86" s="24"/>
      <c r="S86" s="24"/>
      <c r="T86" s="24"/>
      <c r="U86" s="24"/>
      <c r="V86" s="24"/>
      <c r="W86" s="24"/>
      <c r="X86" s="24"/>
      <c r="Y86" s="24"/>
      <c r="Z86" s="24"/>
      <c r="AA86" s="24"/>
      <c r="AB86" s="24"/>
      <c r="AC86" s="24"/>
    </row>
    <row r="87" spans="1:29" ht="15.75">
      <c r="A87" s="359"/>
      <c r="B87" s="7" t="s">
        <v>3049</v>
      </c>
      <c r="C87" s="8" t="s">
        <v>2721</v>
      </c>
      <c r="D87" s="8">
        <f>1/D86</f>
        <v>298.99999999999994</v>
      </c>
      <c r="E87" s="9"/>
      <c r="F87" s="8">
        <f>1/F86</f>
        <v>186.5</v>
      </c>
      <c r="G87" s="9"/>
      <c r="H87" s="8">
        <f>1/H86</f>
        <v>110.11111111111111</v>
      </c>
      <c r="I87" s="9"/>
      <c r="J87" s="8">
        <f>1/J86</f>
        <v>82.333333333333329</v>
      </c>
      <c r="K87" s="9"/>
      <c r="L87" s="8">
        <f>1/L86</f>
        <v>61.500000000000007</v>
      </c>
      <c r="M87" s="9"/>
      <c r="N87" s="8">
        <f>1/N86</f>
        <v>48.999999999999993</v>
      </c>
      <c r="O87" s="9"/>
      <c r="P87" s="8">
        <f>1/P86</f>
        <v>29</v>
      </c>
      <c r="Q87" s="9"/>
      <c r="R87" s="24"/>
      <c r="S87" s="24"/>
      <c r="T87" s="24"/>
      <c r="U87" s="24"/>
      <c r="V87" s="24"/>
      <c r="W87" s="24"/>
      <c r="X87" s="24"/>
      <c r="Y87" s="24"/>
      <c r="Z87" s="24"/>
      <c r="AA87" s="24"/>
      <c r="AB87" s="24"/>
      <c r="AC87" s="24"/>
    </row>
    <row r="88" spans="1:29" ht="15.75">
      <c r="A88" s="359"/>
      <c r="B88" s="7" t="s">
        <v>3062</v>
      </c>
      <c r="C88" s="8"/>
      <c r="D88" s="8">
        <f>D87+1</f>
        <v>299.99999999999994</v>
      </c>
      <c r="E88" s="9"/>
      <c r="F88" s="8">
        <f>F87+1</f>
        <v>187.5</v>
      </c>
      <c r="G88" s="9"/>
      <c r="H88" s="8">
        <f>H87+1</f>
        <v>111.11111111111111</v>
      </c>
      <c r="I88" s="9"/>
      <c r="J88" s="8">
        <f>J87+1</f>
        <v>83.333333333333329</v>
      </c>
      <c r="K88" s="9"/>
      <c r="L88" s="8">
        <f>L87+1</f>
        <v>62.500000000000007</v>
      </c>
      <c r="M88" s="9"/>
      <c r="N88" s="8">
        <f>N87+1</f>
        <v>49.999999999999993</v>
      </c>
      <c r="O88" s="9"/>
      <c r="P88" s="8">
        <f>P87+1</f>
        <v>30</v>
      </c>
      <c r="Q88" s="9"/>
      <c r="R88" s="24"/>
      <c r="S88" s="24"/>
      <c r="T88" s="24"/>
      <c r="U88" s="24"/>
      <c r="V88" s="24"/>
      <c r="W88" s="24"/>
      <c r="X88" s="24"/>
      <c r="Y88" s="24"/>
      <c r="Z88" s="24"/>
      <c r="AA88" s="24"/>
      <c r="AB88" s="24"/>
      <c r="AC88" s="24"/>
    </row>
    <row r="89" spans="1:29" ht="15.75">
      <c r="A89" s="359"/>
      <c r="B89" s="7"/>
      <c r="C89" s="8"/>
      <c r="D89" s="8"/>
      <c r="E89" s="9"/>
      <c r="F89" s="8"/>
      <c r="G89" s="9"/>
      <c r="H89" s="8"/>
      <c r="I89" s="9"/>
      <c r="J89" s="8"/>
      <c r="K89" s="9"/>
      <c r="L89" s="8"/>
      <c r="M89" s="9"/>
      <c r="N89" s="8"/>
      <c r="O89" s="9"/>
      <c r="P89" s="8"/>
      <c r="Q89" s="9"/>
      <c r="R89" s="24"/>
      <c r="S89" s="24"/>
      <c r="T89" s="24"/>
      <c r="U89" s="24"/>
      <c r="V89" s="24"/>
      <c r="W89" s="24"/>
      <c r="X89" s="24"/>
      <c r="Y89" s="24"/>
      <c r="Z89" s="24"/>
      <c r="AA89" s="24"/>
      <c r="AB89" s="24"/>
      <c r="AC89" s="24"/>
    </row>
    <row r="90" spans="1:29" ht="15.75">
      <c r="A90" s="359"/>
      <c r="B90" s="10" t="s">
        <v>3063</v>
      </c>
      <c r="C90" s="11"/>
      <c r="D90" s="934">
        <f>D74*D86</f>
        <v>1.3377926421404684E-2</v>
      </c>
      <c r="E90" s="12" t="s">
        <v>68</v>
      </c>
      <c r="F90" s="934">
        <f>F74*F86</f>
        <v>2.1447721179624665E-2</v>
      </c>
      <c r="G90" s="12" t="s">
        <v>68</v>
      </c>
      <c r="H90" s="934">
        <f>H74*H86</f>
        <v>3.6326942482341071E-2</v>
      </c>
      <c r="I90" s="12" t="s">
        <v>68</v>
      </c>
      <c r="J90" s="934">
        <f>J74*J86</f>
        <v>4.8582995951417005E-2</v>
      </c>
      <c r="K90" s="12" t="s">
        <v>68</v>
      </c>
      <c r="L90" s="934">
        <f>L74*L86</f>
        <v>6.5040650406504058E-2</v>
      </c>
      <c r="M90" s="12" t="s">
        <v>68</v>
      </c>
      <c r="N90" s="934">
        <f>N74*N86</f>
        <v>8.1632653061224497E-2</v>
      </c>
      <c r="O90" s="12" t="s">
        <v>68</v>
      </c>
      <c r="P90" s="934">
        <f>P74*P86</f>
        <v>0.13793103448275862</v>
      </c>
      <c r="Q90" s="12" t="s">
        <v>68</v>
      </c>
      <c r="R90" s="24"/>
      <c r="S90" s="24"/>
      <c r="T90" s="24"/>
      <c r="U90" s="24"/>
      <c r="V90" s="24"/>
      <c r="W90" s="24"/>
      <c r="X90" s="24"/>
      <c r="Y90" s="24"/>
      <c r="Z90" s="24"/>
      <c r="AA90" s="24"/>
      <c r="AB90" s="24"/>
      <c r="AC90" s="24"/>
    </row>
    <row r="91" spans="1:29" ht="15.75">
      <c r="A91" s="359"/>
      <c r="R91" s="24"/>
      <c r="S91" s="24"/>
      <c r="T91" s="24"/>
      <c r="U91" s="24"/>
      <c r="V91" s="24"/>
      <c r="W91" s="24"/>
      <c r="X91" s="24"/>
      <c r="Y91" s="24"/>
      <c r="Z91" s="24"/>
      <c r="AA91" s="24"/>
      <c r="AB91" s="24"/>
      <c r="AC91" s="24"/>
    </row>
    <row r="92" spans="1:29" ht="15.75">
      <c r="A92" s="359"/>
      <c r="B92" s="298" t="s">
        <v>3065</v>
      </c>
      <c r="C92" s="298"/>
      <c r="R92" s="24"/>
      <c r="S92" s="24"/>
      <c r="T92" s="24"/>
      <c r="U92" s="24"/>
      <c r="V92" s="24"/>
      <c r="W92" s="24"/>
      <c r="X92" s="24"/>
      <c r="Y92" s="24"/>
      <c r="Z92" s="24"/>
      <c r="AA92" s="24"/>
      <c r="AB92" s="24"/>
      <c r="AC92" s="24"/>
    </row>
    <row r="93" spans="1:29" ht="15.75">
      <c r="A93" s="359"/>
      <c r="R93" s="24"/>
      <c r="S93" s="24"/>
      <c r="T93" s="24"/>
      <c r="U93" s="24"/>
      <c r="V93" s="24"/>
      <c r="W93" s="24"/>
      <c r="X93" s="24"/>
      <c r="Y93" s="24"/>
      <c r="Z93" s="24"/>
      <c r="AA93" s="24"/>
      <c r="AB93" s="24"/>
      <c r="AC93" s="24"/>
    </row>
    <row r="94" spans="1:29" ht="15.75">
      <c r="A94" s="359"/>
      <c r="B94" t="s">
        <v>282</v>
      </c>
      <c r="D94">
        <f>D83/D90</f>
        <v>1.5025125628140705</v>
      </c>
      <c r="F94">
        <f>F83/F90</f>
        <v>1.504032258064516</v>
      </c>
      <c r="H94">
        <f>H83/H90</f>
        <v>1.5068423720223012</v>
      </c>
      <c r="J94">
        <f>J83/J90</f>
        <v>1.5091649694501017</v>
      </c>
      <c r="L94">
        <f>L83/L90</f>
        <v>1.5122950819672132</v>
      </c>
      <c r="N94">
        <f>N83/N90</f>
        <v>1.5154639175257731</v>
      </c>
      <c r="P94">
        <f>P83/P90</f>
        <v>1.5263157894736841</v>
      </c>
      <c r="R94" s="24"/>
      <c r="S94" s="24"/>
      <c r="T94" s="24"/>
      <c r="U94" s="24"/>
      <c r="V94" s="24"/>
      <c r="W94" s="24"/>
      <c r="X94" s="24"/>
      <c r="Y94" s="24"/>
      <c r="Z94" s="24"/>
      <c r="AA94" s="24"/>
      <c r="AB94" s="24"/>
      <c r="AC94" s="24"/>
    </row>
    <row r="95" spans="1:29" ht="15.75">
      <c r="A95" s="359"/>
      <c r="B95" t="s">
        <v>3066</v>
      </c>
      <c r="D95">
        <f>1/D94</f>
        <v>0.66555183946488283</v>
      </c>
      <c r="F95">
        <f>1/F94</f>
        <v>0.66487935656836461</v>
      </c>
      <c r="H95">
        <f>1/H94</f>
        <v>0.66363942145980481</v>
      </c>
      <c r="J95">
        <f>1/J94</f>
        <v>0.66261808367071529</v>
      </c>
      <c r="L95">
        <f>1/L94</f>
        <v>0.66124661246612459</v>
      </c>
      <c r="N95">
        <f>1/N94</f>
        <v>0.65986394557823136</v>
      </c>
      <c r="P95">
        <f>1/P94</f>
        <v>0.65517241379310354</v>
      </c>
      <c r="R95" s="24"/>
      <c r="S95" s="24"/>
      <c r="T95" s="24"/>
      <c r="U95" s="24"/>
      <c r="V95" s="24"/>
      <c r="W95" s="24"/>
      <c r="X95" s="24"/>
      <c r="Y95" s="24"/>
      <c r="Z95" s="24"/>
      <c r="AA95" s="24"/>
      <c r="AB95" s="24"/>
      <c r="AC95" s="24"/>
    </row>
    <row r="96" spans="1:29" ht="15.75">
      <c r="A96" s="359"/>
      <c r="R96" s="24"/>
      <c r="S96" s="24"/>
      <c r="T96" s="24"/>
      <c r="U96" s="24"/>
      <c r="V96" s="24"/>
      <c r="W96" s="24"/>
      <c r="X96" s="24"/>
      <c r="Y96" s="24"/>
      <c r="Z96" s="24"/>
      <c r="AA96" s="24"/>
      <c r="AB96" s="24"/>
      <c r="AC96" s="24"/>
    </row>
    <row r="97" spans="1:29" ht="15.75">
      <c r="A97" s="359"/>
      <c r="B97" s="298" t="s">
        <v>592</v>
      </c>
      <c r="C97" s="298"/>
      <c r="D97" s="497">
        <f>D94</f>
        <v>1.5025125628140705</v>
      </c>
      <c r="E97" s="497"/>
      <c r="F97" s="497">
        <f>F94</f>
        <v>1.504032258064516</v>
      </c>
      <c r="G97" s="497"/>
      <c r="H97" s="497">
        <f>H94</f>
        <v>1.5068423720223012</v>
      </c>
      <c r="I97" s="497"/>
      <c r="J97" s="497">
        <f>J94</f>
        <v>1.5091649694501017</v>
      </c>
      <c r="K97" s="497"/>
      <c r="L97" s="497">
        <f>L94</f>
        <v>1.5122950819672132</v>
      </c>
      <c r="M97" s="497"/>
      <c r="N97" s="497">
        <f>N94</f>
        <v>1.5154639175257731</v>
      </c>
      <c r="O97" s="497"/>
      <c r="P97" s="497">
        <f>P94</f>
        <v>1.5263157894736841</v>
      </c>
      <c r="R97" s="24"/>
      <c r="S97" s="24"/>
      <c r="T97" s="24"/>
      <c r="U97" s="24"/>
      <c r="V97" s="24"/>
      <c r="W97" s="24"/>
      <c r="X97" s="24"/>
      <c r="Y97" s="24"/>
      <c r="Z97" s="24"/>
      <c r="AA97" s="24"/>
      <c r="AB97" s="24"/>
      <c r="AC97" s="24"/>
    </row>
    <row r="98" spans="1:29" ht="15.75">
      <c r="A98" s="359"/>
      <c r="R98" s="24"/>
      <c r="S98" s="24"/>
      <c r="T98" s="24"/>
      <c r="U98" s="24"/>
      <c r="V98" s="24"/>
      <c r="W98" s="24"/>
      <c r="X98" s="24"/>
      <c r="Y98" s="24"/>
      <c r="Z98" s="24"/>
      <c r="AA98" s="24"/>
      <c r="AB98" s="24"/>
      <c r="AC98" s="24"/>
    </row>
    <row r="99" spans="1:29" ht="15.75">
      <c r="A99" s="359"/>
      <c r="B99" s="298"/>
      <c r="C99" s="298"/>
      <c r="D99" s="298"/>
      <c r="R99" s="24"/>
      <c r="S99" s="24"/>
      <c r="T99" s="24"/>
      <c r="U99" s="24"/>
      <c r="V99" s="24"/>
      <c r="W99" s="24"/>
      <c r="X99" s="24"/>
      <c r="Y99" s="24"/>
      <c r="Z99" s="24"/>
      <c r="AA99" s="24"/>
      <c r="AB99" s="24"/>
      <c r="AC99" s="24"/>
    </row>
    <row r="100" spans="1:29" ht="15.75">
      <c r="A100" s="359"/>
      <c r="R100" s="24"/>
      <c r="S100" s="24"/>
      <c r="T100" s="24"/>
      <c r="U100" s="24"/>
      <c r="V100" s="24"/>
      <c r="W100" s="24"/>
      <c r="X100" s="24"/>
      <c r="Y100" s="24"/>
      <c r="Z100" s="24"/>
      <c r="AA100" s="24"/>
      <c r="AB100" s="24"/>
      <c r="AC100" s="24"/>
    </row>
    <row r="101" spans="1:29" ht="15.75">
      <c r="A101" s="359"/>
      <c r="R101" s="24"/>
      <c r="S101" s="24"/>
      <c r="T101" s="24"/>
      <c r="U101" s="24"/>
      <c r="V101" s="24"/>
      <c r="W101" s="24"/>
      <c r="X101" s="24"/>
      <c r="Y101" s="24"/>
      <c r="Z101" s="24"/>
      <c r="AA101" s="24"/>
      <c r="AB101" s="24"/>
      <c r="AC101" s="24"/>
    </row>
    <row r="102" spans="1:29" ht="15.75">
      <c r="A102" s="987" t="s">
        <v>391</v>
      </c>
      <c r="B102" s="995" t="s">
        <v>3076</v>
      </c>
      <c r="C102" s="995"/>
      <c r="D102" s="995"/>
      <c r="E102" s="995"/>
      <c r="R102" s="24"/>
      <c r="S102" s="24"/>
      <c r="T102" s="24"/>
      <c r="U102" s="24"/>
      <c r="V102" s="24"/>
      <c r="W102" s="24"/>
      <c r="X102" s="24"/>
      <c r="Y102" s="24"/>
      <c r="Z102" s="24"/>
      <c r="AA102" s="24"/>
      <c r="AB102" s="24"/>
      <c r="AC102" s="24"/>
    </row>
    <row r="103" spans="1:29">
      <c r="R103" s="24"/>
      <c r="S103" s="24"/>
      <c r="T103" s="24"/>
      <c r="U103" s="24"/>
      <c r="V103" s="24"/>
      <c r="W103" s="24"/>
      <c r="X103" s="24"/>
      <c r="Y103" s="24"/>
      <c r="Z103" s="24"/>
      <c r="AA103" s="24"/>
      <c r="AB103" s="24"/>
      <c r="AC103" s="24"/>
    </row>
    <row r="104" spans="1:29" ht="15.75">
      <c r="A104" s="359"/>
      <c r="D104" s="319" t="s">
        <v>3069</v>
      </c>
      <c r="E104" s="319"/>
      <c r="F104" s="319" t="s">
        <v>3070</v>
      </c>
      <c r="G104" s="319"/>
      <c r="H104" s="319" t="s">
        <v>3071</v>
      </c>
      <c r="I104" s="319"/>
      <c r="J104" s="319" t="s">
        <v>3072</v>
      </c>
      <c r="K104" s="319"/>
      <c r="L104" s="319" t="s">
        <v>3073</v>
      </c>
      <c r="M104" s="319"/>
      <c r="N104" s="319" t="s">
        <v>3074</v>
      </c>
      <c r="P104" s="319" t="s">
        <v>3075</v>
      </c>
      <c r="R104" s="24"/>
      <c r="S104" s="24"/>
      <c r="T104" s="24"/>
      <c r="U104" s="24"/>
      <c r="V104" s="24"/>
      <c r="W104" s="24"/>
      <c r="X104" s="24"/>
      <c r="Y104" s="24"/>
      <c r="Z104" s="24"/>
      <c r="AA104" s="24"/>
      <c r="AB104" s="24"/>
      <c r="AC104" s="24"/>
    </row>
    <row r="105" spans="1:29" ht="15.75">
      <c r="A105" s="359"/>
      <c r="B105" t="s">
        <v>3058</v>
      </c>
      <c r="D105" s="235">
        <v>4</v>
      </c>
      <c r="E105" t="s">
        <v>68</v>
      </c>
      <c r="F105" s="235">
        <v>8</v>
      </c>
      <c r="G105" t="s">
        <v>68</v>
      </c>
      <c r="H105" s="235">
        <v>15</v>
      </c>
      <c r="I105" t="s">
        <v>68</v>
      </c>
      <c r="J105" s="235">
        <v>25</v>
      </c>
      <c r="K105" t="s">
        <v>68</v>
      </c>
      <c r="L105" s="235">
        <v>50</v>
      </c>
      <c r="M105" t="s">
        <v>68</v>
      </c>
      <c r="N105" s="235">
        <v>100</v>
      </c>
      <c r="O105" t="s">
        <v>68</v>
      </c>
      <c r="P105" s="235">
        <v>200</v>
      </c>
      <c r="Q105" t="s">
        <v>68</v>
      </c>
      <c r="R105" s="24"/>
      <c r="S105" s="24"/>
      <c r="T105" s="24"/>
      <c r="U105" s="24"/>
      <c r="V105" s="24"/>
      <c r="W105" s="24"/>
      <c r="X105" s="24"/>
      <c r="Y105" s="24"/>
      <c r="Z105" s="24"/>
      <c r="AA105" s="24"/>
      <c r="AB105" s="24"/>
      <c r="AC105" s="24"/>
    </row>
    <row r="106" spans="1:29" ht="15.75">
      <c r="A106" s="359"/>
      <c r="B106" t="s">
        <v>3059</v>
      </c>
      <c r="D106" s="32">
        <f>D105+$D$108</f>
        <v>10</v>
      </c>
      <c r="E106" t="s">
        <v>68</v>
      </c>
      <c r="F106" s="32">
        <f>F105+$D$108</f>
        <v>14</v>
      </c>
      <c r="G106" t="s">
        <v>68</v>
      </c>
      <c r="H106" s="32">
        <f>H105+$D$108</f>
        <v>21</v>
      </c>
      <c r="I106" t="s">
        <v>68</v>
      </c>
      <c r="J106" s="32">
        <f>J105+$D$108</f>
        <v>31</v>
      </c>
      <c r="K106" t="s">
        <v>68</v>
      </c>
      <c r="L106" s="32">
        <f>L105+$D$108</f>
        <v>56</v>
      </c>
      <c r="M106" t="s">
        <v>68</v>
      </c>
      <c r="N106" s="32">
        <f>N105+$D$108</f>
        <v>106</v>
      </c>
      <c r="O106" t="s">
        <v>68</v>
      </c>
      <c r="P106" s="32">
        <f>P105+$D$108</f>
        <v>206</v>
      </c>
      <c r="Q106" t="s">
        <v>68</v>
      </c>
      <c r="R106" s="24"/>
      <c r="S106" s="24"/>
      <c r="T106" s="24"/>
      <c r="U106" s="24"/>
      <c r="V106" s="24"/>
      <c r="W106" s="24"/>
      <c r="X106" s="24"/>
      <c r="Y106" s="24"/>
      <c r="Z106" s="24"/>
      <c r="AA106" s="24"/>
      <c r="AB106" s="24"/>
      <c r="AC106" s="24"/>
    </row>
    <row r="107" spans="1:29" ht="15.75">
      <c r="A107" s="359"/>
      <c r="B107" t="s">
        <v>3045</v>
      </c>
      <c r="D107" s="235">
        <v>4</v>
      </c>
      <c r="E107" t="s">
        <v>68</v>
      </c>
      <c r="F107" s="32">
        <f>$D$107</f>
        <v>4</v>
      </c>
      <c r="G107" t="s">
        <v>68</v>
      </c>
      <c r="H107" s="32">
        <f>$D$107</f>
        <v>4</v>
      </c>
      <c r="I107" t="s">
        <v>68</v>
      </c>
      <c r="J107" s="32">
        <f>$D$107</f>
        <v>4</v>
      </c>
      <c r="K107" t="s">
        <v>68</v>
      </c>
      <c r="L107" s="32">
        <f>$D$107</f>
        <v>4</v>
      </c>
      <c r="M107" t="s">
        <v>68</v>
      </c>
      <c r="N107" s="32">
        <f>$D$107</f>
        <v>4</v>
      </c>
      <c r="O107" t="s">
        <v>68</v>
      </c>
      <c r="P107" s="32">
        <f>$D$107</f>
        <v>4</v>
      </c>
      <c r="Q107" t="s">
        <v>68</v>
      </c>
      <c r="R107" s="24"/>
      <c r="S107" s="24"/>
      <c r="T107" s="24"/>
      <c r="U107" s="24"/>
      <c r="V107" s="24"/>
      <c r="W107" s="24"/>
      <c r="X107" s="24"/>
      <c r="Y107" s="24"/>
      <c r="Z107" s="24"/>
      <c r="AA107" s="24"/>
      <c r="AB107" s="24"/>
      <c r="AC107" s="24"/>
    </row>
    <row r="108" spans="1:29" ht="15.75">
      <c r="A108" s="359"/>
      <c r="B108" t="s">
        <v>3060</v>
      </c>
      <c r="D108" s="235">
        <v>6</v>
      </c>
      <c r="E108" t="s">
        <v>68</v>
      </c>
      <c r="F108" s="32">
        <f>$D$108</f>
        <v>6</v>
      </c>
      <c r="G108" t="s">
        <v>68</v>
      </c>
      <c r="H108" s="32">
        <f>$D$108</f>
        <v>6</v>
      </c>
      <c r="I108" t="s">
        <v>68</v>
      </c>
      <c r="J108" s="32">
        <f>$D$108</f>
        <v>6</v>
      </c>
      <c r="K108" t="s">
        <v>68</v>
      </c>
      <c r="L108" s="32">
        <f>$D$108</f>
        <v>6</v>
      </c>
      <c r="M108" t="s">
        <v>68</v>
      </c>
      <c r="N108" s="32">
        <f>$D$108</f>
        <v>6</v>
      </c>
      <c r="O108" t="s">
        <v>68</v>
      </c>
      <c r="P108" s="32">
        <f>$D$108</f>
        <v>6</v>
      </c>
      <c r="Q108" t="s">
        <v>68</v>
      </c>
      <c r="R108" s="24"/>
      <c r="S108" s="24"/>
      <c r="T108" s="24"/>
      <c r="U108" s="24"/>
      <c r="V108" s="24"/>
      <c r="W108" s="24"/>
      <c r="X108" s="24"/>
      <c r="Y108" s="24"/>
      <c r="Z108" s="24"/>
      <c r="AA108" s="24"/>
      <c r="AB108" s="24"/>
      <c r="AC108" s="24"/>
    </row>
    <row r="109" spans="1:29" ht="15.75">
      <c r="A109" s="359"/>
      <c r="B109" t="s">
        <v>1588</v>
      </c>
      <c r="D109" s="232">
        <v>0.05</v>
      </c>
      <c r="E109" t="s">
        <v>68</v>
      </c>
      <c r="F109" s="60">
        <f>$D$109</f>
        <v>0.05</v>
      </c>
      <c r="G109" t="s">
        <v>68</v>
      </c>
      <c r="H109" s="60">
        <f>$D$109</f>
        <v>0.05</v>
      </c>
      <c r="I109" t="s">
        <v>68</v>
      </c>
      <c r="J109" s="60">
        <f>$D$109</f>
        <v>0.05</v>
      </c>
      <c r="K109" t="s">
        <v>68</v>
      </c>
      <c r="L109" s="60">
        <f>$D$109</f>
        <v>0.05</v>
      </c>
      <c r="M109" t="s">
        <v>68</v>
      </c>
      <c r="N109" s="60">
        <f>$D$109</f>
        <v>0.05</v>
      </c>
      <c r="O109" t="s">
        <v>68</v>
      </c>
      <c r="P109" s="60">
        <f>$D$109</f>
        <v>0.05</v>
      </c>
      <c r="Q109" t="s">
        <v>68</v>
      </c>
      <c r="R109" s="24"/>
      <c r="S109" s="24"/>
      <c r="T109" s="24"/>
      <c r="U109" s="24"/>
      <c r="V109" s="24"/>
      <c r="W109" s="24"/>
      <c r="X109" s="24"/>
      <c r="Y109" s="24"/>
      <c r="Z109" s="24"/>
      <c r="AA109" s="24"/>
      <c r="AB109" s="24"/>
      <c r="AC109" s="24"/>
    </row>
    <row r="110" spans="1:29" ht="15.75">
      <c r="A110" s="359"/>
      <c r="N110" s="32"/>
      <c r="R110" s="24"/>
      <c r="S110" s="24"/>
      <c r="T110" s="24"/>
      <c r="U110" s="24"/>
      <c r="V110" s="24"/>
      <c r="W110" s="24"/>
      <c r="X110" s="24"/>
      <c r="Y110" s="24"/>
      <c r="Z110" s="24"/>
      <c r="AA110" s="24"/>
      <c r="AB110" s="24"/>
      <c r="AC110" s="24"/>
    </row>
    <row r="111" spans="1:29">
      <c r="B111" s="445" t="s">
        <v>3061</v>
      </c>
      <c r="C111" s="5"/>
      <c r="D111" s="5"/>
      <c r="E111" s="6"/>
      <c r="F111" s="5"/>
      <c r="G111" s="6"/>
      <c r="H111" s="5"/>
      <c r="I111" s="6"/>
      <c r="J111" s="5"/>
      <c r="K111" s="6"/>
      <c r="L111" s="5"/>
      <c r="M111" s="6"/>
      <c r="N111" s="5"/>
      <c r="O111" s="6"/>
      <c r="P111" s="5"/>
      <c r="Q111" s="6"/>
      <c r="R111" s="24"/>
      <c r="S111" s="24"/>
      <c r="T111" s="24"/>
      <c r="U111" s="24"/>
      <c r="V111" s="24"/>
      <c r="W111" s="24"/>
      <c r="X111" s="24"/>
      <c r="Y111" s="24"/>
      <c r="Z111" s="24"/>
      <c r="AA111" s="24"/>
      <c r="AB111" s="24"/>
      <c r="AC111" s="24"/>
    </row>
    <row r="112" spans="1:29">
      <c r="B112" s="7" t="s">
        <v>2486</v>
      </c>
      <c r="C112" s="8"/>
      <c r="D112" s="8">
        <f>D109/(D105-D109)</f>
        <v>1.2658227848101266E-2</v>
      </c>
      <c r="E112" s="9"/>
      <c r="F112" s="8">
        <f>F109/(F105-F109)</f>
        <v>6.2893081761006293E-3</v>
      </c>
      <c r="G112" s="9"/>
      <c r="H112" s="8">
        <f>H109/(H105-H109)</f>
        <v>3.3444816053511709E-3</v>
      </c>
      <c r="I112" s="9"/>
      <c r="J112" s="8">
        <f>J109/(J105-J109)</f>
        <v>2.0040080160320644E-3</v>
      </c>
      <c r="K112" s="9"/>
      <c r="L112" s="8">
        <f>L109/(L105-L109)</f>
        <v>1.001001001001001E-3</v>
      </c>
      <c r="M112" s="9"/>
      <c r="N112" s="8">
        <f>N109/(N105-N109)</f>
        <v>5.0025012506253123E-4</v>
      </c>
      <c r="O112" s="9"/>
      <c r="P112" s="8">
        <f>P109/(P105-P109)</f>
        <v>2.5006251562890725E-4</v>
      </c>
      <c r="Q112" s="9"/>
      <c r="R112" s="24"/>
      <c r="S112" s="24"/>
      <c r="T112" s="24"/>
      <c r="U112" s="24"/>
      <c r="V112" s="24"/>
      <c r="W112" s="24"/>
      <c r="X112" s="24"/>
      <c r="Y112" s="24"/>
      <c r="Z112" s="24"/>
      <c r="AA112" s="24"/>
      <c r="AB112" s="24"/>
      <c r="AC112" s="24"/>
    </row>
    <row r="113" spans="2:29">
      <c r="B113" s="7" t="s">
        <v>471</v>
      </c>
      <c r="C113" s="8" t="s">
        <v>2721</v>
      </c>
      <c r="D113" s="8">
        <f>1/D112</f>
        <v>79</v>
      </c>
      <c r="E113" s="9"/>
      <c r="F113" s="8">
        <f>1/F112</f>
        <v>159</v>
      </c>
      <c r="G113" s="9"/>
      <c r="H113" s="8">
        <f>1/H112</f>
        <v>298.99999999999994</v>
      </c>
      <c r="I113" s="9"/>
      <c r="J113" s="8">
        <f>1/J112</f>
        <v>498.99999999999994</v>
      </c>
      <c r="K113" s="9"/>
      <c r="L113" s="8">
        <f>1/L112</f>
        <v>999</v>
      </c>
      <c r="M113" s="9"/>
      <c r="N113" s="8">
        <f>1/N112</f>
        <v>1999.0000000000002</v>
      </c>
      <c r="O113" s="9"/>
      <c r="P113" s="8">
        <f>1/P112</f>
        <v>3998.9999999999995</v>
      </c>
      <c r="Q113" s="9"/>
      <c r="R113" s="24"/>
      <c r="S113" s="24"/>
      <c r="T113" s="24"/>
      <c r="U113" s="24"/>
      <c r="V113" s="24"/>
      <c r="W113" s="24"/>
      <c r="X113" s="24"/>
      <c r="Y113" s="24"/>
      <c r="Z113" s="24"/>
      <c r="AA113" s="24"/>
      <c r="AB113" s="24"/>
      <c r="AC113" s="24"/>
    </row>
    <row r="114" spans="2:29">
      <c r="B114" s="7" t="s">
        <v>3062</v>
      </c>
      <c r="C114" s="8"/>
      <c r="D114" s="8">
        <f>D113+1</f>
        <v>80</v>
      </c>
      <c r="E114" s="9"/>
      <c r="F114" s="8">
        <f>F113+1</f>
        <v>160</v>
      </c>
      <c r="G114" s="9"/>
      <c r="H114" s="8">
        <f>H113+1</f>
        <v>299.99999999999994</v>
      </c>
      <c r="I114" s="9"/>
      <c r="J114" s="8">
        <f>J113+1</f>
        <v>499.99999999999994</v>
      </c>
      <c r="K114" s="9"/>
      <c r="L114" s="8">
        <f>L113+1</f>
        <v>1000</v>
      </c>
      <c r="M114" s="9"/>
      <c r="N114" s="8">
        <f>N113+1</f>
        <v>2000.0000000000002</v>
      </c>
      <c r="O114" s="9"/>
      <c r="P114" s="8">
        <f>P113+1</f>
        <v>3999.9999999999995</v>
      </c>
      <c r="Q114" s="9"/>
      <c r="R114" s="24"/>
      <c r="S114" s="24"/>
      <c r="T114" s="24"/>
      <c r="U114" s="24"/>
      <c r="V114" s="24"/>
      <c r="W114" s="24"/>
      <c r="X114" s="24"/>
      <c r="Y114" s="24"/>
      <c r="Z114" s="24"/>
      <c r="AA114" s="24"/>
      <c r="AB114" s="24"/>
      <c r="AC114" s="24"/>
    </row>
    <row r="115" spans="2:29">
      <c r="B115" s="7"/>
      <c r="C115" s="8"/>
      <c r="D115" s="8"/>
      <c r="E115" s="9"/>
      <c r="F115" s="8"/>
      <c r="G115" s="9"/>
      <c r="H115" s="8"/>
      <c r="I115" s="9"/>
      <c r="J115" s="8"/>
      <c r="K115" s="9"/>
      <c r="L115" s="8"/>
      <c r="M115" s="9"/>
      <c r="N115" s="8"/>
      <c r="O115" s="9"/>
      <c r="P115" s="8"/>
      <c r="Q115" s="9"/>
      <c r="R115" s="24"/>
      <c r="S115" s="24"/>
      <c r="T115" s="24"/>
      <c r="U115" s="24"/>
      <c r="V115" s="24"/>
      <c r="W115" s="24"/>
      <c r="X115" s="24"/>
      <c r="Y115" s="24"/>
      <c r="Z115" s="24"/>
      <c r="AA115" s="24"/>
      <c r="AB115" s="24"/>
      <c r="AC115" s="24"/>
    </row>
    <row r="116" spans="2:29">
      <c r="B116" s="10" t="s">
        <v>3063</v>
      </c>
      <c r="C116" s="11"/>
      <c r="D116" s="934">
        <f>D107*D112</f>
        <v>5.0632911392405063E-2</v>
      </c>
      <c r="E116" s="12"/>
      <c r="F116" s="934">
        <f>F107*F112</f>
        <v>2.5157232704402517E-2</v>
      </c>
      <c r="G116" s="12"/>
      <c r="H116" s="934">
        <f>H107*H112</f>
        <v>1.3377926421404684E-2</v>
      </c>
      <c r="I116" s="12"/>
      <c r="J116" s="934">
        <f>J107*J112</f>
        <v>8.0160320641282576E-3</v>
      </c>
      <c r="K116" s="12"/>
      <c r="L116" s="934">
        <f>L107*L112</f>
        <v>4.004004004004004E-3</v>
      </c>
      <c r="M116" s="12"/>
      <c r="N116" s="934">
        <f>N107*N112</f>
        <v>2.0010005002501249E-3</v>
      </c>
      <c r="O116" s="12"/>
      <c r="P116" s="934">
        <f>P107*P112</f>
        <v>1.000250062515629E-3</v>
      </c>
      <c r="Q116" s="12"/>
      <c r="R116" s="24"/>
      <c r="S116" s="24"/>
      <c r="T116" s="24"/>
      <c r="U116" s="24"/>
      <c r="V116" s="24"/>
      <c r="W116" s="24"/>
      <c r="X116" s="24"/>
      <c r="Y116" s="24"/>
      <c r="Z116" s="24"/>
      <c r="AA116" s="24"/>
      <c r="AB116" s="24"/>
      <c r="AC116" s="24"/>
    </row>
    <row r="117" spans="2:29">
      <c r="R117" s="24"/>
      <c r="S117" s="24"/>
      <c r="T117" s="24"/>
      <c r="U117" s="24"/>
      <c r="V117" s="24"/>
      <c r="W117" s="24"/>
      <c r="X117" s="24"/>
      <c r="Y117" s="24"/>
      <c r="Z117" s="24"/>
      <c r="AA117" s="24"/>
      <c r="AB117" s="24"/>
      <c r="AC117" s="24"/>
    </row>
    <row r="118" spans="2:29">
      <c r="B118" s="445" t="s">
        <v>3064</v>
      </c>
      <c r="C118" s="5"/>
      <c r="D118" s="5"/>
      <c r="E118" s="6"/>
      <c r="F118" s="5"/>
      <c r="G118" s="6"/>
      <c r="H118" s="5"/>
      <c r="I118" s="6"/>
      <c r="J118" s="5"/>
      <c r="K118" s="6"/>
      <c r="L118" s="5"/>
      <c r="M118" s="6"/>
      <c r="N118" s="5"/>
      <c r="O118" s="6"/>
      <c r="P118" s="5"/>
      <c r="Q118" s="6"/>
      <c r="R118" s="24"/>
      <c r="S118" s="24"/>
      <c r="T118" s="24"/>
      <c r="U118" s="24"/>
      <c r="V118" s="24"/>
      <c r="W118" s="24"/>
      <c r="X118" s="24"/>
      <c r="Y118" s="24"/>
      <c r="Z118" s="24"/>
      <c r="AA118" s="24"/>
      <c r="AB118" s="24"/>
      <c r="AC118" s="24"/>
    </row>
    <row r="119" spans="2:29">
      <c r="B119" s="7" t="s">
        <v>2486</v>
      </c>
      <c r="C119" s="8"/>
      <c r="D119" s="8">
        <f>D109/(D106-D109)</f>
        <v>5.0251256281407045E-3</v>
      </c>
      <c r="E119" s="9"/>
      <c r="F119" s="8">
        <f>F109/(F106-F109)</f>
        <v>3.584229390681004E-3</v>
      </c>
      <c r="G119" s="9"/>
      <c r="H119" s="8">
        <f>H109/(H106-H109)</f>
        <v>2.3866348448687352E-3</v>
      </c>
      <c r="I119" s="9"/>
      <c r="J119" s="8">
        <f>J109/(J106-J109)</f>
        <v>1.6155088852988692E-3</v>
      </c>
      <c r="K119" s="9"/>
      <c r="L119" s="8">
        <f>L109/(L106-L109)</f>
        <v>8.9365504915102768E-4</v>
      </c>
      <c r="M119" s="9"/>
      <c r="N119" s="8">
        <f>N109/(N106-N109)</f>
        <v>4.7192071731949034E-4</v>
      </c>
      <c r="O119" s="9"/>
      <c r="P119" s="8">
        <f>P109/(P106-P109)</f>
        <v>2.4277737314882256E-4</v>
      </c>
      <c r="Q119" s="9"/>
      <c r="R119" s="24"/>
      <c r="S119" s="24"/>
      <c r="T119" s="24"/>
      <c r="U119" s="24"/>
      <c r="V119" s="24"/>
      <c r="W119" s="24"/>
      <c r="X119" s="24"/>
      <c r="Y119" s="24"/>
      <c r="Z119" s="24"/>
      <c r="AA119" s="24"/>
      <c r="AB119" s="24"/>
      <c r="AC119" s="24"/>
    </row>
    <row r="120" spans="2:29">
      <c r="B120" s="7" t="s">
        <v>3049</v>
      </c>
      <c r="C120" s="8" t="s">
        <v>2721</v>
      </c>
      <c r="D120" s="8">
        <f>1/D119</f>
        <v>198.99999999999997</v>
      </c>
      <c r="E120" s="9"/>
      <c r="F120" s="8">
        <f>1/F119</f>
        <v>278.99999999999994</v>
      </c>
      <c r="G120" s="9"/>
      <c r="H120" s="8">
        <f>1/H119</f>
        <v>419</v>
      </c>
      <c r="I120" s="9"/>
      <c r="J120" s="8">
        <f>1/J119</f>
        <v>619</v>
      </c>
      <c r="K120" s="9"/>
      <c r="L120" s="8">
        <f>1/L119</f>
        <v>1119</v>
      </c>
      <c r="M120" s="9"/>
      <c r="N120" s="8">
        <f>1/N119</f>
        <v>2119</v>
      </c>
      <c r="O120" s="9"/>
      <c r="P120" s="8">
        <f>1/P119</f>
        <v>4118.9999999999991</v>
      </c>
      <c r="Q120" s="9"/>
      <c r="R120" s="24"/>
      <c r="S120" s="24"/>
      <c r="T120" s="24"/>
      <c r="U120" s="24"/>
      <c r="V120" s="24"/>
      <c r="W120" s="24"/>
      <c r="X120" s="24"/>
      <c r="Y120" s="24"/>
      <c r="Z120" s="24"/>
      <c r="AA120" s="24"/>
      <c r="AB120" s="24"/>
      <c r="AC120" s="24"/>
    </row>
    <row r="121" spans="2:29">
      <c r="B121" s="7" t="s">
        <v>3062</v>
      </c>
      <c r="C121" s="8"/>
      <c r="D121" s="8">
        <f>D120+1</f>
        <v>199.99999999999997</v>
      </c>
      <c r="E121" s="9"/>
      <c r="F121" s="8">
        <f>F120+1</f>
        <v>279.99999999999994</v>
      </c>
      <c r="G121" s="9"/>
      <c r="H121" s="8">
        <f>H120+1</f>
        <v>420</v>
      </c>
      <c r="I121" s="9"/>
      <c r="J121" s="8">
        <f>J120+1</f>
        <v>620</v>
      </c>
      <c r="K121" s="9"/>
      <c r="L121" s="8">
        <f>L120+1</f>
        <v>1120</v>
      </c>
      <c r="M121" s="9"/>
      <c r="N121" s="8">
        <f>N120+1</f>
        <v>2120</v>
      </c>
      <c r="O121" s="9"/>
      <c r="P121" s="8">
        <f>P120+1</f>
        <v>4119.9999999999991</v>
      </c>
      <c r="Q121" s="9"/>
      <c r="R121" s="24"/>
      <c r="S121" s="24"/>
      <c r="T121" s="24"/>
      <c r="U121" s="24"/>
      <c r="V121" s="24"/>
      <c r="W121" s="24"/>
      <c r="X121" s="24"/>
      <c r="Y121" s="24"/>
      <c r="Z121" s="24"/>
      <c r="AA121" s="24"/>
      <c r="AB121" s="24"/>
      <c r="AC121" s="24"/>
    </row>
    <row r="122" spans="2:29">
      <c r="B122" s="7"/>
      <c r="C122" s="8"/>
      <c r="D122" s="8"/>
      <c r="E122" s="9"/>
      <c r="F122" s="8"/>
      <c r="G122" s="9"/>
      <c r="H122" s="8"/>
      <c r="I122" s="9"/>
      <c r="J122" s="8"/>
      <c r="K122" s="9"/>
      <c r="L122" s="8"/>
      <c r="M122" s="9"/>
      <c r="N122" s="8"/>
      <c r="O122" s="9"/>
      <c r="P122" s="8"/>
      <c r="Q122" s="9"/>
      <c r="R122" s="24"/>
      <c r="S122" s="24"/>
      <c r="T122" s="24"/>
      <c r="U122" s="24"/>
      <c r="V122" s="24"/>
      <c r="W122" s="24"/>
      <c r="X122" s="24"/>
      <c r="Y122" s="24"/>
      <c r="Z122" s="24"/>
      <c r="AA122" s="24"/>
      <c r="AB122" s="24"/>
      <c r="AC122" s="24"/>
    </row>
    <row r="123" spans="2:29">
      <c r="B123" s="10" t="s">
        <v>3063</v>
      </c>
      <c r="C123" s="11"/>
      <c r="D123" s="934">
        <f>D107*D119</f>
        <v>2.0100502512562818E-2</v>
      </c>
      <c r="E123" s="12" t="s">
        <v>68</v>
      </c>
      <c r="F123" s="934">
        <f>F107*F119</f>
        <v>1.4336917562724016E-2</v>
      </c>
      <c r="G123" s="12" t="s">
        <v>68</v>
      </c>
      <c r="H123" s="934">
        <f>H107*H119</f>
        <v>9.5465393794749408E-3</v>
      </c>
      <c r="I123" s="12" t="s">
        <v>68</v>
      </c>
      <c r="J123" s="934">
        <f>J107*J119</f>
        <v>6.462035541195477E-3</v>
      </c>
      <c r="K123" s="12" t="s">
        <v>68</v>
      </c>
      <c r="L123" s="934">
        <f>L107*L119</f>
        <v>3.5746201966041107E-3</v>
      </c>
      <c r="M123" s="12" t="s">
        <v>68</v>
      </c>
      <c r="N123" s="934">
        <f>N107*N119</f>
        <v>1.8876828692779614E-3</v>
      </c>
      <c r="O123" s="12" t="s">
        <v>68</v>
      </c>
      <c r="P123" s="934">
        <f>P107*P119</f>
        <v>9.7110949259529024E-4</v>
      </c>
      <c r="Q123" s="12" t="s">
        <v>68</v>
      </c>
      <c r="R123" s="24"/>
      <c r="S123" s="24"/>
      <c r="T123" s="24"/>
      <c r="U123" s="24"/>
      <c r="V123" s="24"/>
      <c r="W123" s="24"/>
      <c r="X123" s="24"/>
      <c r="Y123" s="24"/>
      <c r="Z123" s="24"/>
      <c r="AA123" s="24"/>
      <c r="AB123" s="24"/>
      <c r="AC123" s="24"/>
    </row>
    <row r="124" spans="2:29">
      <c r="R124" s="24"/>
      <c r="S124" s="24"/>
      <c r="T124" s="24"/>
      <c r="U124" s="24"/>
      <c r="V124" s="24"/>
      <c r="W124" s="24"/>
      <c r="X124" s="24"/>
      <c r="Y124" s="24"/>
      <c r="Z124" s="24"/>
      <c r="AA124" s="24"/>
      <c r="AB124" s="24"/>
      <c r="AC124" s="24"/>
    </row>
    <row r="125" spans="2:29">
      <c r="B125" s="298" t="s">
        <v>3065</v>
      </c>
      <c r="C125" s="298"/>
      <c r="R125" s="24"/>
      <c r="S125" s="24"/>
      <c r="T125" s="24"/>
      <c r="U125" s="24"/>
      <c r="V125" s="24"/>
      <c r="W125" s="24"/>
      <c r="X125" s="24"/>
      <c r="Y125" s="24"/>
      <c r="Z125" s="24"/>
      <c r="AA125" s="24"/>
      <c r="AB125" s="24"/>
      <c r="AC125" s="24"/>
    </row>
    <row r="126" spans="2:29">
      <c r="R126" s="24"/>
      <c r="S126" s="24"/>
      <c r="T126" s="24"/>
      <c r="U126" s="24"/>
      <c r="V126" s="24"/>
      <c r="W126" s="24"/>
      <c r="X126" s="24"/>
      <c r="Y126" s="24"/>
      <c r="Z126" s="24"/>
      <c r="AA126" s="24"/>
      <c r="AB126" s="24"/>
      <c r="AC126" s="24"/>
    </row>
    <row r="127" spans="2:29">
      <c r="B127" t="s">
        <v>282</v>
      </c>
      <c r="D127">
        <f>D116/D123</f>
        <v>2.5189873417721516</v>
      </c>
      <c r="F127">
        <f>F116/F123</f>
        <v>1.7547169811320753</v>
      </c>
      <c r="H127">
        <f>H116/H123</f>
        <v>1.4013377926421406</v>
      </c>
      <c r="J127">
        <f>J116/J123</f>
        <v>1.2404809619238477</v>
      </c>
      <c r="L127">
        <f>L116/L123</f>
        <v>1.1201201201201201</v>
      </c>
      <c r="N127">
        <f>N116/N123</f>
        <v>1.0600300150075037</v>
      </c>
      <c r="P127">
        <f>P116/P123</f>
        <v>1.0300075018754689</v>
      </c>
      <c r="R127" s="24"/>
      <c r="S127" s="24"/>
      <c r="T127" s="24"/>
      <c r="U127" s="24"/>
      <c r="V127" s="24"/>
      <c r="W127" s="24"/>
      <c r="X127" s="24"/>
      <c r="Y127" s="24"/>
      <c r="Z127" s="24"/>
      <c r="AA127" s="24"/>
      <c r="AB127" s="24"/>
      <c r="AC127" s="24"/>
    </row>
    <row r="128" spans="2:29">
      <c r="B128" t="s">
        <v>3066</v>
      </c>
      <c r="D128">
        <f>1/D127</f>
        <v>0.39698492462311563</v>
      </c>
      <c r="F128">
        <f>1/F127</f>
        <v>0.56989247311827962</v>
      </c>
      <c r="H128">
        <f>1/H127</f>
        <v>0.71360381861575173</v>
      </c>
      <c r="J128">
        <f>1/J127</f>
        <v>0.8061389337641357</v>
      </c>
      <c r="L128">
        <f>1/L127</f>
        <v>0.89276139410187672</v>
      </c>
      <c r="N128">
        <f>1/N127</f>
        <v>0.94336951392166124</v>
      </c>
      <c r="P128">
        <f>1/P127</f>
        <v>0.9708667152221413</v>
      </c>
      <c r="R128" s="24"/>
      <c r="S128" s="24"/>
      <c r="T128" s="24"/>
      <c r="U128" s="24"/>
      <c r="V128" s="24"/>
      <c r="W128" s="24"/>
      <c r="X128" s="24"/>
      <c r="Y128" s="24"/>
      <c r="Z128" s="24"/>
      <c r="AA128" s="24"/>
      <c r="AB128" s="24"/>
      <c r="AC128" s="24"/>
    </row>
    <row r="129" spans="1:29">
      <c r="R129" s="24"/>
      <c r="S129" s="24"/>
      <c r="T129" s="24"/>
      <c r="U129" s="24"/>
      <c r="V129" s="24"/>
      <c r="W129" s="24"/>
      <c r="X129" s="24"/>
      <c r="Y129" s="24"/>
      <c r="Z129" s="24"/>
      <c r="AA129" s="24"/>
      <c r="AB129" s="24"/>
      <c r="AC129" s="24"/>
    </row>
    <row r="130" spans="1:29">
      <c r="B130" s="298" t="s">
        <v>592</v>
      </c>
      <c r="C130" s="298"/>
      <c r="D130" s="497">
        <f>D127</f>
        <v>2.5189873417721516</v>
      </c>
      <c r="E130" s="497"/>
      <c r="F130" s="497">
        <f>F127</f>
        <v>1.7547169811320753</v>
      </c>
      <c r="G130" s="497"/>
      <c r="H130" s="497">
        <f>H127</f>
        <v>1.4013377926421406</v>
      </c>
      <c r="I130" s="497"/>
      <c r="J130" s="497">
        <f>J127</f>
        <v>1.2404809619238477</v>
      </c>
      <c r="K130" s="497"/>
      <c r="L130" s="497">
        <f>L127</f>
        <v>1.1201201201201201</v>
      </c>
      <c r="M130" s="497"/>
      <c r="N130" s="497">
        <f>N127</f>
        <v>1.0600300150075037</v>
      </c>
      <c r="O130" s="497"/>
      <c r="P130" s="497">
        <f>P127</f>
        <v>1.0300075018754689</v>
      </c>
      <c r="R130" s="24"/>
      <c r="S130" s="24"/>
      <c r="T130" s="24"/>
      <c r="U130" s="24"/>
      <c r="V130" s="24"/>
      <c r="W130" s="24"/>
      <c r="X130" s="24"/>
      <c r="Y130" s="24"/>
      <c r="Z130" s="24"/>
      <c r="AA130" s="24"/>
      <c r="AB130" s="24"/>
      <c r="AC130" s="24"/>
    </row>
    <row r="140" spans="1:29" ht="13.5" thickBot="1">
      <c r="B140" s="318"/>
    </row>
    <row r="141" spans="1:29">
      <c r="A141" s="996"/>
      <c r="B141" s="997"/>
      <c r="C141" s="998"/>
      <c r="D141" s="998"/>
      <c r="E141" s="998"/>
      <c r="F141" s="998"/>
      <c r="G141" s="998"/>
      <c r="H141" s="998"/>
      <c r="I141" s="998"/>
      <c r="J141" s="998"/>
      <c r="K141" s="998"/>
      <c r="L141" s="998"/>
      <c r="M141" s="998"/>
      <c r="N141" s="998"/>
      <c r="O141" s="998"/>
      <c r="P141" s="998"/>
      <c r="Q141" s="998"/>
      <c r="R141" s="998"/>
      <c r="S141" s="998"/>
      <c r="T141" s="998"/>
      <c r="U141" s="998"/>
      <c r="V141" s="998"/>
      <c r="W141" s="998"/>
      <c r="X141" s="998"/>
      <c r="Y141" s="998"/>
      <c r="Z141" s="306"/>
    </row>
    <row r="142" spans="1:29">
      <c r="A142" s="999" t="s">
        <v>3069</v>
      </c>
      <c r="B142" s="1000" t="s">
        <v>3077</v>
      </c>
      <c r="D142" s="1001">
        <v>0.25</v>
      </c>
      <c r="E142" s="38"/>
      <c r="F142" s="38"/>
      <c r="G142" s="38"/>
      <c r="H142" s="38"/>
      <c r="I142" s="38"/>
      <c r="J142" s="38"/>
      <c r="K142" s="38"/>
      <c r="L142" s="38"/>
      <c r="M142" s="38"/>
      <c r="N142" s="38"/>
      <c r="O142" s="38"/>
      <c r="P142" s="38"/>
      <c r="Q142" s="38"/>
      <c r="R142" s="38"/>
      <c r="S142" s="38"/>
      <c r="T142" s="38"/>
      <c r="U142" s="38"/>
      <c r="V142" s="38"/>
      <c r="W142" s="38"/>
      <c r="X142" s="38"/>
      <c r="Y142" s="38"/>
      <c r="Z142" s="309"/>
    </row>
    <row r="143" spans="1:29">
      <c r="A143" s="1002"/>
      <c r="B143" s="1003"/>
      <c r="C143" s="1003"/>
      <c r="D143" s="38"/>
      <c r="E143" s="38"/>
      <c r="F143" s="38"/>
      <c r="G143" s="38"/>
      <c r="H143" s="38"/>
      <c r="I143" s="38"/>
      <c r="J143" s="38"/>
      <c r="K143" s="38"/>
      <c r="L143" s="38"/>
      <c r="M143" s="38"/>
      <c r="N143" s="38"/>
      <c r="O143" s="38"/>
      <c r="P143" s="38"/>
      <c r="Q143" s="38"/>
      <c r="R143" s="38"/>
      <c r="S143" s="38"/>
      <c r="T143" s="38"/>
      <c r="U143" s="38"/>
      <c r="V143" s="38"/>
      <c r="W143" s="38"/>
      <c r="X143" s="38"/>
      <c r="Y143" s="38"/>
      <c r="Z143" s="309"/>
    </row>
    <row r="144" spans="1:29">
      <c r="A144" s="1002" t="s">
        <v>3078</v>
      </c>
      <c r="B144" s="1003"/>
      <c r="C144" s="1003"/>
      <c r="D144" s="38"/>
      <c r="E144" s="38"/>
      <c r="F144" s="38"/>
      <c r="G144" s="38"/>
      <c r="H144" s="38"/>
      <c r="I144" s="38"/>
      <c r="J144" s="38"/>
      <c r="K144" s="38"/>
      <c r="L144" s="38"/>
      <c r="M144" s="38"/>
      <c r="N144" s="38"/>
      <c r="O144" s="38"/>
      <c r="P144" s="38"/>
      <c r="Q144" s="38"/>
      <c r="R144" s="38"/>
      <c r="S144" s="38"/>
      <c r="T144" s="38"/>
      <c r="U144" s="38"/>
      <c r="V144" s="38"/>
      <c r="W144" s="38"/>
      <c r="X144" s="38"/>
      <c r="Y144" s="38"/>
      <c r="Z144" s="309"/>
    </row>
    <row r="145" spans="1:26">
      <c r="A145" s="1002">
        <v>1</v>
      </c>
      <c r="B145" s="1004" t="s">
        <v>3079</v>
      </c>
      <c r="C145" s="1005">
        <v>800</v>
      </c>
      <c r="D145" s="38">
        <f t="shared" ref="D145:Z146" si="0">C145</f>
        <v>800</v>
      </c>
      <c r="E145" s="38">
        <f t="shared" si="0"/>
        <v>800</v>
      </c>
      <c r="F145" s="38">
        <f t="shared" si="0"/>
        <v>800</v>
      </c>
      <c r="G145" s="38">
        <f t="shared" si="0"/>
        <v>800</v>
      </c>
      <c r="H145" s="38">
        <f t="shared" si="0"/>
        <v>800</v>
      </c>
      <c r="I145" s="38">
        <f t="shared" si="0"/>
        <v>800</v>
      </c>
      <c r="J145" s="38">
        <f t="shared" si="0"/>
        <v>800</v>
      </c>
      <c r="K145" s="38">
        <f t="shared" si="0"/>
        <v>800</v>
      </c>
      <c r="L145" s="38">
        <f t="shared" si="0"/>
        <v>800</v>
      </c>
      <c r="M145" s="38">
        <f t="shared" si="0"/>
        <v>800</v>
      </c>
      <c r="N145" s="38">
        <f t="shared" si="0"/>
        <v>800</v>
      </c>
      <c r="O145" s="38">
        <f t="shared" si="0"/>
        <v>800</v>
      </c>
      <c r="P145" s="38">
        <f t="shared" si="0"/>
        <v>800</v>
      </c>
      <c r="Q145" s="38">
        <f t="shared" si="0"/>
        <v>800</v>
      </c>
      <c r="R145" s="38">
        <f t="shared" si="0"/>
        <v>800</v>
      </c>
      <c r="S145" s="38">
        <f t="shared" si="0"/>
        <v>800</v>
      </c>
      <c r="T145" s="38">
        <f t="shared" si="0"/>
        <v>800</v>
      </c>
      <c r="U145" s="38">
        <f t="shared" si="0"/>
        <v>800</v>
      </c>
      <c r="V145" s="38">
        <f t="shared" si="0"/>
        <v>800</v>
      </c>
      <c r="W145" s="38">
        <f t="shared" si="0"/>
        <v>800</v>
      </c>
      <c r="X145" s="38">
        <f t="shared" si="0"/>
        <v>800</v>
      </c>
      <c r="Y145" s="38">
        <f t="shared" si="0"/>
        <v>800</v>
      </c>
      <c r="Z145" s="309">
        <f t="shared" si="0"/>
        <v>800</v>
      </c>
    </row>
    <row r="146" spans="1:26">
      <c r="A146" s="1002">
        <v>1</v>
      </c>
      <c r="B146" s="1004" t="s">
        <v>3080</v>
      </c>
      <c r="C146" s="1005">
        <v>800</v>
      </c>
      <c r="D146" s="38">
        <f t="shared" si="0"/>
        <v>800</v>
      </c>
      <c r="E146" s="38">
        <f t="shared" si="0"/>
        <v>800</v>
      </c>
      <c r="F146" s="38">
        <f t="shared" si="0"/>
        <v>800</v>
      </c>
      <c r="G146" s="38">
        <f t="shared" si="0"/>
        <v>800</v>
      </c>
      <c r="H146" s="38">
        <f t="shared" si="0"/>
        <v>800</v>
      </c>
      <c r="I146" s="38">
        <f t="shared" si="0"/>
        <v>800</v>
      </c>
      <c r="J146" s="38">
        <f t="shared" si="0"/>
        <v>800</v>
      </c>
      <c r="K146" s="38">
        <f t="shared" si="0"/>
        <v>800</v>
      </c>
      <c r="L146" s="38">
        <f t="shared" si="0"/>
        <v>800</v>
      </c>
      <c r="M146" s="38">
        <f t="shared" si="0"/>
        <v>800</v>
      </c>
      <c r="N146" s="38">
        <f t="shared" si="0"/>
        <v>800</v>
      </c>
      <c r="O146" s="38">
        <f t="shared" si="0"/>
        <v>800</v>
      </c>
      <c r="P146" s="38">
        <f t="shared" si="0"/>
        <v>800</v>
      </c>
      <c r="Q146" s="38">
        <f t="shared" si="0"/>
        <v>800</v>
      </c>
      <c r="R146" s="38">
        <f t="shared" si="0"/>
        <v>800</v>
      </c>
      <c r="S146" s="38">
        <f t="shared" si="0"/>
        <v>800</v>
      </c>
      <c r="T146" s="38">
        <f t="shared" si="0"/>
        <v>800</v>
      </c>
      <c r="U146" s="38">
        <f t="shared" si="0"/>
        <v>800</v>
      </c>
      <c r="V146" s="38">
        <f t="shared" si="0"/>
        <v>800</v>
      </c>
      <c r="W146" s="38">
        <f t="shared" si="0"/>
        <v>800</v>
      </c>
      <c r="X146" s="38">
        <f t="shared" si="0"/>
        <v>800</v>
      </c>
      <c r="Y146" s="38">
        <f t="shared" si="0"/>
        <v>800</v>
      </c>
      <c r="Z146" s="309">
        <f t="shared" si="0"/>
        <v>800</v>
      </c>
    </row>
    <row r="147" spans="1:26">
      <c r="A147" s="1002">
        <v>1</v>
      </c>
      <c r="B147" s="1004" t="s">
        <v>3081</v>
      </c>
      <c r="C147" s="1005">
        <v>1000</v>
      </c>
      <c r="D147" s="1006">
        <f>C147+C147*D142</f>
        <v>1250</v>
      </c>
      <c r="E147" s="1006">
        <f>D147+C147*D142</f>
        <v>1500</v>
      </c>
      <c r="F147" s="1006">
        <f>E147+C147*D142</f>
        <v>1750</v>
      </c>
      <c r="G147" s="1006">
        <f>F147+C147*D142</f>
        <v>2000</v>
      </c>
      <c r="H147" s="1006">
        <f>G147+C147*D142</f>
        <v>2250</v>
      </c>
      <c r="I147" s="1006">
        <f>H147+C147*D142</f>
        <v>2500</v>
      </c>
      <c r="J147" s="1006">
        <f>I147+C147*D142</f>
        <v>2750</v>
      </c>
      <c r="K147" s="1006">
        <f>J147+C147*D142</f>
        <v>3000</v>
      </c>
      <c r="L147" s="1006">
        <f>K147+C147*D142</f>
        <v>3250</v>
      </c>
      <c r="M147" s="1006">
        <f>L147+C147*D142</f>
        <v>3500</v>
      </c>
      <c r="N147" s="1006">
        <f>M147+C147*D142</f>
        <v>3750</v>
      </c>
      <c r="O147" s="1006">
        <f>N147+C147*D142</f>
        <v>4000</v>
      </c>
      <c r="P147" s="1006">
        <f>O147+C147*D142</f>
        <v>4250</v>
      </c>
      <c r="Q147" s="1006">
        <f>P147+C147*D142</f>
        <v>4500</v>
      </c>
      <c r="R147" s="1006">
        <f>Q147+C147*D142</f>
        <v>4750</v>
      </c>
      <c r="S147" s="1006">
        <f>R147+C147*D142</f>
        <v>5000</v>
      </c>
      <c r="T147" s="1006">
        <f>S147+C147*D142</f>
        <v>5250</v>
      </c>
      <c r="U147" s="1006">
        <f>T147+C147*D142</f>
        <v>5500</v>
      </c>
      <c r="V147" s="1006">
        <f>U147+C147*D142</f>
        <v>5750</v>
      </c>
      <c r="W147" s="1006">
        <f>V147+C147*D142</f>
        <v>6000</v>
      </c>
      <c r="X147" s="1006">
        <f>W147+C147*D142</f>
        <v>6250</v>
      </c>
      <c r="Y147" s="1006">
        <f>X147+C147*D142</f>
        <v>6500</v>
      </c>
      <c r="Z147" s="1007">
        <f>Y147+C147*D142</f>
        <v>6750</v>
      </c>
    </row>
    <row r="148" spans="1:26">
      <c r="A148" s="1002">
        <v>1</v>
      </c>
      <c r="B148" s="1004" t="s">
        <v>3082</v>
      </c>
      <c r="C148" s="1005">
        <v>100</v>
      </c>
      <c r="D148" s="38">
        <f t="shared" ref="D148:Z148" si="1">C148</f>
        <v>100</v>
      </c>
      <c r="E148" s="38">
        <f t="shared" si="1"/>
        <v>100</v>
      </c>
      <c r="F148" s="38">
        <f t="shared" si="1"/>
        <v>100</v>
      </c>
      <c r="G148" s="38">
        <f t="shared" si="1"/>
        <v>100</v>
      </c>
      <c r="H148" s="38">
        <f t="shared" si="1"/>
        <v>100</v>
      </c>
      <c r="I148" s="38">
        <f t="shared" si="1"/>
        <v>100</v>
      </c>
      <c r="J148" s="38">
        <f t="shared" si="1"/>
        <v>100</v>
      </c>
      <c r="K148" s="38">
        <f t="shared" si="1"/>
        <v>100</v>
      </c>
      <c r="L148" s="38">
        <f t="shared" si="1"/>
        <v>100</v>
      </c>
      <c r="M148" s="38">
        <f t="shared" si="1"/>
        <v>100</v>
      </c>
      <c r="N148" s="38">
        <f t="shared" si="1"/>
        <v>100</v>
      </c>
      <c r="O148" s="38">
        <f t="shared" si="1"/>
        <v>100</v>
      </c>
      <c r="P148" s="38">
        <f t="shared" si="1"/>
        <v>100</v>
      </c>
      <c r="Q148" s="38">
        <f t="shared" si="1"/>
        <v>100</v>
      </c>
      <c r="R148" s="38">
        <f t="shared" si="1"/>
        <v>100</v>
      </c>
      <c r="S148" s="38">
        <f t="shared" si="1"/>
        <v>100</v>
      </c>
      <c r="T148" s="38">
        <f t="shared" si="1"/>
        <v>100</v>
      </c>
      <c r="U148" s="38">
        <f t="shared" si="1"/>
        <v>100</v>
      </c>
      <c r="V148" s="38">
        <f t="shared" si="1"/>
        <v>100</v>
      </c>
      <c r="W148" s="38">
        <f t="shared" si="1"/>
        <v>100</v>
      </c>
      <c r="X148" s="38">
        <f t="shared" si="1"/>
        <v>100</v>
      </c>
      <c r="Y148" s="38">
        <f t="shared" si="1"/>
        <v>100</v>
      </c>
      <c r="Z148" s="309">
        <f t="shared" si="1"/>
        <v>100</v>
      </c>
    </row>
    <row r="149" spans="1:26">
      <c r="A149" s="1002">
        <v>1</v>
      </c>
      <c r="B149" s="1008"/>
      <c r="C149" s="1008"/>
      <c r="D149" s="38"/>
      <c r="E149" s="38"/>
      <c r="F149" s="38"/>
      <c r="G149" s="38"/>
      <c r="H149" s="38"/>
      <c r="I149" s="38"/>
      <c r="J149" s="38"/>
      <c r="K149" s="38"/>
      <c r="L149" s="38"/>
      <c r="M149" s="38"/>
      <c r="N149" s="38"/>
      <c r="O149" s="38"/>
      <c r="P149" s="38"/>
      <c r="Q149" s="38"/>
      <c r="R149" s="38"/>
      <c r="S149" s="38"/>
      <c r="T149" s="38"/>
      <c r="U149" s="38"/>
      <c r="V149" s="38"/>
      <c r="W149" s="38"/>
      <c r="X149" s="38"/>
      <c r="Y149" s="38"/>
      <c r="Z149" s="309"/>
    </row>
    <row r="150" spans="1:26">
      <c r="A150" s="1002">
        <v>1</v>
      </c>
      <c r="B150" s="1008" t="s">
        <v>2663</v>
      </c>
      <c r="C150" s="1009">
        <f t="shared" ref="C150:Z150" si="2">C147/C148</f>
        <v>10</v>
      </c>
      <c r="D150" s="1010">
        <f t="shared" si="2"/>
        <v>12.5</v>
      </c>
      <c r="E150" s="1010">
        <f t="shared" si="2"/>
        <v>15</v>
      </c>
      <c r="F150" s="1010">
        <f t="shared" si="2"/>
        <v>17.5</v>
      </c>
      <c r="G150" s="1010">
        <f t="shared" si="2"/>
        <v>20</v>
      </c>
      <c r="H150" s="1010">
        <f t="shared" si="2"/>
        <v>22.5</v>
      </c>
      <c r="I150" s="1010">
        <f t="shared" si="2"/>
        <v>25</v>
      </c>
      <c r="J150" s="1010">
        <f t="shared" si="2"/>
        <v>27.5</v>
      </c>
      <c r="K150" s="1010">
        <f t="shared" si="2"/>
        <v>30</v>
      </c>
      <c r="L150" s="1010">
        <f t="shared" si="2"/>
        <v>32.5</v>
      </c>
      <c r="M150" s="1010">
        <f t="shared" si="2"/>
        <v>35</v>
      </c>
      <c r="N150" s="1010">
        <f t="shared" si="2"/>
        <v>37.5</v>
      </c>
      <c r="O150" s="1010">
        <f t="shared" si="2"/>
        <v>40</v>
      </c>
      <c r="P150" s="1010">
        <f t="shared" si="2"/>
        <v>42.5</v>
      </c>
      <c r="Q150" s="1010">
        <f t="shared" si="2"/>
        <v>45</v>
      </c>
      <c r="R150" s="1010">
        <f t="shared" si="2"/>
        <v>47.5</v>
      </c>
      <c r="S150" s="1010">
        <f t="shared" si="2"/>
        <v>50</v>
      </c>
      <c r="T150" s="1010">
        <f t="shared" si="2"/>
        <v>52.5</v>
      </c>
      <c r="U150" s="1010">
        <f t="shared" si="2"/>
        <v>55</v>
      </c>
      <c r="V150" s="1010">
        <f t="shared" si="2"/>
        <v>57.5</v>
      </c>
      <c r="W150" s="1010">
        <f t="shared" si="2"/>
        <v>60</v>
      </c>
      <c r="X150" s="1010">
        <f t="shared" si="2"/>
        <v>62.5</v>
      </c>
      <c r="Y150" s="1010">
        <f t="shared" si="2"/>
        <v>65</v>
      </c>
      <c r="Z150" s="1011">
        <f t="shared" si="2"/>
        <v>67.5</v>
      </c>
    </row>
    <row r="151" spans="1:26">
      <c r="A151" s="1002">
        <v>1</v>
      </c>
      <c r="B151" s="1008" t="s">
        <v>3083</v>
      </c>
      <c r="C151" s="1012">
        <f t="shared" ref="C151:Z151" si="3">C150-1</f>
        <v>9</v>
      </c>
      <c r="D151" s="442">
        <f t="shared" si="3"/>
        <v>11.5</v>
      </c>
      <c r="E151" s="442">
        <f t="shared" si="3"/>
        <v>14</v>
      </c>
      <c r="F151" s="442">
        <f t="shared" si="3"/>
        <v>16.5</v>
      </c>
      <c r="G151" s="442">
        <f t="shared" si="3"/>
        <v>19</v>
      </c>
      <c r="H151" s="442">
        <f t="shared" si="3"/>
        <v>21.5</v>
      </c>
      <c r="I151" s="442">
        <f t="shared" si="3"/>
        <v>24</v>
      </c>
      <c r="J151" s="442">
        <f t="shared" si="3"/>
        <v>26.5</v>
      </c>
      <c r="K151" s="442">
        <f t="shared" si="3"/>
        <v>29</v>
      </c>
      <c r="L151" s="442">
        <f t="shared" si="3"/>
        <v>31.5</v>
      </c>
      <c r="M151" s="442">
        <f t="shared" si="3"/>
        <v>34</v>
      </c>
      <c r="N151" s="442">
        <f t="shared" si="3"/>
        <v>36.5</v>
      </c>
      <c r="O151" s="442">
        <f t="shared" si="3"/>
        <v>39</v>
      </c>
      <c r="P151" s="442">
        <f t="shared" si="3"/>
        <v>41.5</v>
      </c>
      <c r="Q151" s="442">
        <f t="shared" si="3"/>
        <v>44</v>
      </c>
      <c r="R151" s="442">
        <f t="shared" si="3"/>
        <v>46.5</v>
      </c>
      <c r="S151" s="442">
        <f t="shared" si="3"/>
        <v>49</v>
      </c>
      <c r="T151" s="442">
        <f t="shared" si="3"/>
        <v>51.5</v>
      </c>
      <c r="U151" s="442">
        <f t="shared" si="3"/>
        <v>54</v>
      </c>
      <c r="V151" s="442">
        <f t="shared" si="3"/>
        <v>56.5</v>
      </c>
      <c r="W151" s="442">
        <f t="shared" si="3"/>
        <v>59</v>
      </c>
      <c r="X151" s="442">
        <f t="shared" si="3"/>
        <v>61.5</v>
      </c>
      <c r="Y151" s="442">
        <f t="shared" si="3"/>
        <v>64</v>
      </c>
      <c r="Z151" s="1013">
        <f t="shared" si="3"/>
        <v>66.5</v>
      </c>
    </row>
    <row r="152" spans="1:26">
      <c r="A152" s="1002">
        <v>1</v>
      </c>
      <c r="B152" s="1008" t="s">
        <v>3084</v>
      </c>
      <c r="C152" s="1009">
        <f t="shared" ref="C152:Z152" si="4">C148+C148/C151</f>
        <v>111.11111111111111</v>
      </c>
      <c r="D152" s="1010">
        <f t="shared" si="4"/>
        <v>108.69565217391305</v>
      </c>
      <c r="E152" s="1010">
        <f t="shared" si="4"/>
        <v>107.14285714285714</v>
      </c>
      <c r="F152" s="1010">
        <f t="shared" si="4"/>
        <v>106.06060606060606</v>
      </c>
      <c r="G152" s="1010">
        <f t="shared" si="4"/>
        <v>105.26315789473685</v>
      </c>
      <c r="H152" s="1010">
        <f t="shared" si="4"/>
        <v>104.65116279069767</v>
      </c>
      <c r="I152" s="1010">
        <f t="shared" si="4"/>
        <v>104.16666666666667</v>
      </c>
      <c r="J152" s="1010">
        <f t="shared" si="4"/>
        <v>103.77358490566037</v>
      </c>
      <c r="K152" s="1010">
        <f t="shared" si="4"/>
        <v>103.44827586206897</v>
      </c>
      <c r="L152" s="1010">
        <f t="shared" si="4"/>
        <v>103.17460317460318</v>
      </c>
      <c r="M152" s="1010">
        <f t="shared" si="4"/>
        <v>102.94117647058823</v>
      </c>
      <c r="N152" s="1010">
        <f t="shared" si="4"/>
        <v>102.73972602739725</v>
      </c>
      <c r="O152" s="1010">
        <f t="shared" si="4"/>
        <v>102.56410256410257</v>
      </c>
      <c r="P152" s="1010">
        <f t="shared" si="4"/>
        <v>102.40963855421687</v>
      </c>
      <c r="Q152" s="1010">
        <f t="shared" si="4"/>
        <v>102.27272727272727</v>
      </c>
      <c r="R152" s="1010">
        <f t="shared" si="4"/>
        <v>102.15053763440861</v>
      </c>
      <c r="S152" s="1010">
        <f t="shared" si="4"/>
        <v>102.04081632653062</v>
      </c>
      <c r="T152" s="1010">
        <f t="shared" si="4"/>
        <v>101.94174757281553</v>
      </c>
      <c r="U152" s="1010">
        <f t="shared" si="4"/>
        <v>101.85185185185185</v>
      </c>
      <c r="V152" s="1010">
        <f t="shared" si="4"/>
        <v>101.76991150442478</v>
      </c>
      <c r="W152" s="1010">
        <f t="shared" si="4"/>
        <v>101.69491525423729</v>
      </c>
      <c r="X152" s="1010">
        <f t="shared" si="4"/>
        <v>101.6260162601626</v>
      </c>
      <c r="Y152" s="1010">
        <f t="shared" si="4"/>
        <v>101.5625</v>
      </c>
      <c r="Z152" s="1011">
        <f t="shared" si="4"/>
        <v>101.50375939849624</v>
      </c>
    </row>
    <row r="153" spans="1:26">
      <c r="A153" s="1002">
        <v>1</v>
      </c>
      <c r="B153" s="1008" t="s">
        <v>3085</v>
      </c>
      <c r="C153" s="1009">
        <f t="shared" ref="C153:Z153" si="5">C145/C151</f>
        <v>88.888888888888886</v>
      </c>
      <c r="D153" s="1010">
        <f t="shared" si="5"/>
        <v>69.565217391304344</v>
      </c>
      <c r="E153" s="1010">
        <f t="shared" si="5"/>
        <v>57.142857142857146</v>
      </c>
      <c r="F153" s="1010">
        <f t="shared" si="5"/>
        <v>48.484848484848484</v>
      </c>
      <c r="G153" s="1010">
        <f t="shared" si="5"/>
        <v>42.10526315789474</v>
      </c>
      <c r="H153" s="1010">
        <f t="shared" si="5"/>
        <v>37.209302325581397</v>
      </c>
      <c r="I153" s="1010">
        <f t="shared" si="5"/>
        <v>33.333333333333336</v>
      </c>
      <c r="J153" s="1010">
        <f t="shared" si="5"/>
        <v>30.188679245283019</v>
      </c>
      <c r="K153" s="1010">
        <f t="shared" si="5"/>
        <v>27.586206896551722</v>
      </c>
      <c r="L153" s="1010">
        <f t="shared" si="5"/>
        <v>25.396825396825395</v>
      </c>
      <c r="M153" s="1010">
        <f t="shared" si="5"/>
        <v>23.529411764705884</v>
      </c>
      <c r="N153" s="1010">
        <f t="shared" si="5"/>
        <v>21.917808219178081</v>
      </c>
      <c r="O153" s="1010">
        <f t="shared" si="5"/>
        <v>20.512820512820515</v>
      </c>
      <c r="P153" s="1010">
        <f t="shared" si="5"/>
        <v>19.277108433734941</v>
      </c>
      <c r="Q153" s="1010">
        <f t="shared" si="5"/>
        <v>18.181818181818183</v>
      </c>
      <c r="R153" s="1010">
        <f t="shared" si="5"/>
        <v>17.204301075268816</v>
      </c>
      <c r="S153" s="1010">
        <f t="shared" si="5"/>
        <v>16.326530612244898</v>
      </c>
      <c r="T153" s="1010">
        <f t="shared" si="5"/>
        <v>15.533980582524272</v>
      </c>
      <c r="U153" s="1010">
        <f t="shared" si="5"/>
        <v>14.814814814814815</v>
      </c>
      <c r="V153" s="1010">
        <f t="shared" si="5"/>
        <v>14.159292035398231</v>
      </c>
      <c r="W153" s="1010">
        <f t="shared" si="5"/>
        <v>13.559322033898304</v>
      </c>
      <c r="X153" s="1010">
        <f t="shared" si="5"/>
        <v>13.008130081300813</v>
      </c>
      <c r="Y153" s="1010">
        <f t="shared" si="5"/>
        <v>12.5</v>
      </c>
      <c r="Z153" s="1011">
        <f t="shared" si="5"/>
        <v>12.030075187969924</v>
      </c>
    </row>
    <row r="154" spans="1:26">
      <c r="A154" s="1002">
        <v>1</v>
      </c>
      <c r="B154" s="1008" t="s">
        <v>3086</v>
      </c>
      <c r="C154" s="1009">
        <f t="shared" ref="C154:Z154" si="6">C146/C151</f>
        <v>88.888888888888886</v>
      </c>
      <c r="D154" s="1010">
        <f t="shared" si="6"/>
        <v>69.565217391304344</v>
      </c>
      <c r="E154" s="1010">
        <f t="shared" si="6"/>
        <v>57.142857142857146</v>
      </c>
      <c r="F154" s="1010">
        <f t="shared" si="6"/>
        <v>48.484848484848484</v>
      </c>
      <c r="G154" s="1010">
        <f t="shared" si="6"/>
        <v>42.10526315789474</v>
      </c>
      <c r="H154" s="1010">
        <f t="shared" si="6"/>
        <v>37.209302325581397</v>
      </c>
      <c r="I154" s="1010">
        <f t="shared" si="6"/>
        <v>33.333333333333336</v>
      </c>
      <c r="J154" s="1010">
        <f t="shared" si="6"/>
        <v>30.188679245283019</v>
      </c>
      <c r="K154" s="1010">
        <f t="shared" si="6"/>
        <v>27.586206896551722</v>
      </c>
      <c r="L154" s="1010">
        <f t="shared" si="6"/>
        <v>25.396825396825395</v>
      </c>
      <c r="M154" s="1010">
        <f t="shared" si="6"/>
        <v>23.529411764705884</v>
      </c>
      <c r="N154" s="1010">
        <f t="shared" si="6"/>
        <v>21.917808219178081</v>
      </c>
      <c r="O154" s="1010">
        <f t="shared" si="6"/>
        <v>20.512820512820515</v>
      </c>
      <c r="P154" s="1010">
        <f t="shared" si="6"/>
        <v>19.277108433734941</v>
      </c>
      <c r="Q154" s="1010">
        <f t="shared" si="6"/>
        <v>18.181818181818183</v>
      </c>
      <c r="R154" s="1010">
        <f t="shared" si="6"/>
        <v>17.204301075268816</v>
      </c>
      <c r="S154" s="1010">
        <f t="shared" si="6"/>
        <v>16.326530612244898</v>
      </c>
      <c r="T154" s="1010">
        <f t="shared" si="6"/>
        <v>15.533980582524272</v>
      </c>
      <c r="U154" s="1010">
        <f t="shared" si="6"/>
        <v>14.814814814814815</v>
      </c>
      <c r="V154" s="1010">
        <f t="shared" si="6"/>
        <v>14.159292035398231</v>
      </c>
      <c r="W154" s="1010">
        <f t="shared" si="6"/>
        <v>13.559322033898304</v>
      </c>
      <c r="X154" s="1010">
        <f t="shared" si="6"/>
        <v>13.008130081300813</v>
      </c>
      <c r="Y154" s="1010">
        <f t="shared" si="6"/>
        <v>12.5</v>
      </c>
      <c r="Z154" s="1011">
        <f t="shared" si="6"/>
        <v>12.030075187969924</v>
      </c>
    </row>
    <row r="155" spans="1:26">
      <c r="A155" s="1002">
        <v>1</v>
      </c>
      <c r="B155" s="1008"/>
      <c r="C155" s="1008"/>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1014"/>
    </row>
    <row r="156" spans="1:26">
      <c r="A156" s="1002">
        <v>1</v>
      </c>
      <c r="B156" s="1008" t="s">
        <v>3087</v>
      </c>
      <c r="C156" s="1015">
        <f t="shared" ref="C156:Z156" si="7">1/(C152/C148)^2</f>
        <v>0.80999999999999994</v>
      </c>
      <c r="D156" s="1016">
        <f t="shared" si="7"/>
        <v>0.84640000000000004</v>
      </c>
      <c r="E156" s="1016">
        <f t="shared" si="7"/>
        <v>0.87111111111111117</v>
      </c>
      <c r="F156" s="1016">
        <f t="shared" si="7"/>
        <v>0.88897959183673481</v>
      </c>
      <c r="G156" s="1016">
        <f t="shared" si="7"/>
        <v>0.90249999999999975</v>
      </c>
      <c r="H156" s="1016">
        <f t="shared" si="7"/>
        <v>0.91308641975308658</v>
      </c>
      <c r="I156" s="1016">
        <f t="shared" si="7"/>
        <v>0.92159999999999986</v>
      </c>
      <c r="J156" s="1016">
        <f t="shared" si="7"/>
        <v>0.92859504132231396</v>
      </c>
      <c r="K156" s="1016">
        <f t="shared" si="7"/>
        <v>0.9344444444444443</v>
      </c>
      <c r="L156" s="1016">
        <f t="shared" si="7"/>
        <v>0.93940828402366849</v>
      </c>
      <c r="M156" s="1016">
        <f t="shared" si="7"/>
        <v>0.94367346938775531</v>
      </c>
      <c r="N156" s="1016">
        <f t="shared" si="7"/>
        <v>0.94737777777777787</v>
      </c>
      <c r="O156" s="1016">
        <f t="shared" si="7"/>
        <v>0.95062499999999983</v>
      </c>
      <c r="P156" s="1016">
        <f t="shared" si="7"/>
        <v>0.95349480968858114</v>
      </c>
      <c r="Q156" s="1016">
        <f t="shared" si="7"/>
        <v>0.95604938271604933</v>
      </c>
      <c r="R156" s="1016">
        <f t="shared" si="7"/>
        <v>0.95833795013850431</v>
      </c>
      <c r="S156" s="1016">
        <f t="shared" si="7"/>
        <v>0.96039999999999992</v>
      </c>
      <c r="T156" s="1016">
        <f t="shared" si="7"/>
        <v>0.96226757369614524</v>
      </c>
      <c r="U156" s="1016">
        <f t="shared" si="7"/>
        <v>0.96396694214876055</v>
      </c>
      <c r="V156" s="1016">
        <f t="shared" si="7"/>
        <v>0.96551984877126662</v>
      </c>
      <c r="W156" s="1016">
        <f t="shared" si="7"/>
        <v>0.9669444444444445</v>
      </c>
      <c r="X156" s="1016">
        <f t="shared" si="7"/>
        <v>0.96825599999999978</v>
      </c>
      <c r="Y156" s="1016">
        <f t="shared" si="7"/>
        <v>0.96946745562130177</v>
      </c>
      <c r="Z156" s="1017">
        <f t="shared" si="7"/>
        <v>0.97058984910836754</v>
      </c>
    </row>
    <row r="157" spans="1:26">
      <c r="A157" s="1002">
        <v>1</v>
      </c>
      <c r="B157" s="1008" t="s">
        <v>3088</v>
      </c>
      <c r="C157" s="1015">
        <f t="shared" ref="C157:Z157" si="8">(C152/C148)^2</f>
        <v>1.2345679012345681</v>
      </c>
      <c r="D157" s="1016">
        <f t="shared" si="8"/>
        <v>1.1814744801512287</v>
      </c>
      <c r="E157" s="1016">
        <f t="shared" si="8"/>
        <v>1.1479591836734693</v>
      </c>
      <c r="F157" s="1016">
        <f t="shared" si="8"/>
        <v>1.1248852157943066</v>
      </c>
      <c r="G157" s="1016">
        <f t="shared" si="8"/>
        <v>1.1080332409972302</v>
      </c>
      <c r="H157" s="1016">
        <f t="shared" si="8"/>
        <v>1.0951865873445104</v>
      </c>
      <c r="I157" s="1016">
        <f t="shared" si="8"/>
        <v>1.0850694444444446</v>
      </c>
      <c r="J157" s="1016">
        <f t="shared" si="8"/>
        <v>1.0768956924172304</v>
      </c>
      <c r="K157" s="1016">
        <f t="shared" si="8"/>
        <v>1.0701545778834722</v>
      </c>
      <c r="L157" s="1016">
        <f t="shared" si="8"/>
        <v>1.0644998740236837</v>
      </c>
      <c r="M157" s="1016">
        <f t="shared" si="8"/>
        <v>1.0596885813148786</v>
      </c>
      <c r="N157" s="1016">
        <f t="shared" si="8"/>
        <v>1.0555451304184649</v>
      </c>
      <c r="O157" s="1016">
        <f t="shared" si="8"/>
        <v>1.0519395134779752</v>
      </c>
      <c r="P157" s="1016">
        <f t="shared" si="8"/>
        <v>1.0487734068805343</v>
      </c>
      <c r="Q157" s="1016">
        <f t="shared" si="8"/>
        <v>1.0459710743801653</v>
      </c>
      <c r="R157" s="1016">
        <f t="shared" si="8"/>
        <v>1.0434732338998727</v>
      </c>
      <c r="S157" s="1016">
        <f t="shared" si="8"/>
        <v>1.0412328196584757</v>
      </c>
      <c r="T157" s="1016">
        <f t="shared" si="8"/>
        <v>1.0392119898199641</v>
      </c>
      <c r="U157" s="1016">
        <f t="shared" si="8"/>
        <v>1.0373799725651576</v>
      </c>
      <c r="V157" s="1016">
        <f t="shared" si="8"/>
        <v>1.035711488761845</v>
      </c>
      <c r="W157" s="1016">
        <f t="shared" si="8"/>
        <v>1.0341855788566503</v>
      </c>
      <c r="X157" s="1016">
        <f t="shared" si="8"/>
        <v>1.0327847180910836</v>
      </c>
      <c r="Y157" s="1016">
        <f t="shared" si="8"/>
        <v>1.031494140625</v>
      </c>
      <c r="Z157" s="1017">
        <f t="shared" si="8"/>
        <v>1.0303013172027815</v>
      </c>
    </row>
    <row r="158" spans="1:26">
      <c r="A158" s="1002"/>
      <c r="B158" s="300"/>
      <c r="C158" s="1016"/>
      <c r="D158" s="1016"/>
      <c r="E158" s="1016"/>
      <c r="F158" s="1016"/>
      <c r="G158" s="1016"/>
      <c r="H158" s="1016"/>
      <c r="I158" s="1016"/>
      <c r="J158" s="1016"/>
      <c r="K158" s="1016"/>
      <c r="L158" s="1016"/>
      <c r="M158" s="1016"/>
      <c r="N158" s="1016"/>
      <c r="O158" s="1016"/>
      <c r="P158" s="1016"/>
      <c r="Q158" s="1016"/>
      <c r="R158" s="1016"/>
      <c r="S158" s="1016"/>
      <c r="T158" s="1016"/>
      <c r="U158" s="1016"/>
      <c r="V158" s="1016"/>
      <c r="W158" s="1016"/>
      <c r="X158" s="1016"/>
      <c r="Y158" s="1016"/>
      <c r="Z158" s="1017"/>
    </row>
    <row r="159" spans="1:26">
      <c r="A159" s="1002"/>
      <c r="B159" s="300"/>
      <c r="C159" s="1003" t="s">
        <v>3089</v>
      </c>
      <c r="D159" s="1018">
        <v>1500</v>
      </c>
      <c r="E159" s="1016"/>
      <c r="F159" s="1016"/>
      <c r="G159" s="1016"/>
      <c r="H159" s="1016"/>
      <c r="I159" s="1016"/>
      <c r="J159" s="1016"/>
      <c r="K159" s="1016"/>
      <c r="L159" s="1016"/>
      <c r="M159" s="1016"/>
      <c r="N159" s="1016"/>
      <c r="O159" s="1016"/>
      <c r="P159" s="1016"/>
      <c r="Q159" s="1016"/>
      <c r="R159" s="1016"/>
      <c r="S159" s="1016"/>
      <c r="T159" s="1016"/>
      <c r="U159" s="1016"/>
      <c r="V159" s="1016"/>
      <c r="W159" s="1016"/>
      <c r="X159" s="1016"/>
      <c r="Y159" s="1016"/>
      <c r="Z159" s="1017"/>
    </row>
    <row r="160" spans="1:26">
      <c r="A160" s="1002"/>
      <c r="B160" s="1003"/>
      <c r="C160" s="1003"/>
      <c r="D160" s="38"/>
      <c r="E160" s="38"/>
      <c r="F160" s="38"/>
      <c r="G160" s="38"/>
      <c r="H160" s="38"/>
      <c r="I160" s="38"/>
      <c r="J160" s="38"/>
      <c r="K160" s="38"/>
      <c r="L160" s="38"/>
      <c r="M160" s="38"/>
      <c r="N160" s="38"/>
      <c r="O160" s="38"/>
      <c r="P160" s="38"/>
      <c r="Q160" s="38"/>
      <c r="R160" s="38"/>
      <c r="S160" s="38"/>
      <c r="T160" s="38"/>
      <c r="U160" s="38"/>
      <c r="V160" s="38"/>
      <c r="W160" s="38"/>
      <c r="X160" s="38"/>
      <c r="Y160" s="38"/>
      <c r="Z160" s="309"/>
    </row>
    <row r="161" spans="1:26">
      <c r="A161" s="1002" t="s">
        <v>3078</v>
      </c>
      <c r="B161" s="1003"/>
      <c r="C161" s="1003"/>
      <c r="D161" s="38"/>
      <c r="E161" s="38"/>
      <c r="F161" s="38"/>
      <c r="G161" s="38"/>
      <c r="H161" s="38"/>
      <c r="I161" s="38"/>
      <c r="J161" s="38"/>
      <c r="K161" s="38"/>
      <c r="L161" s="38"/>
      <c r="M161" s="38"/>
      <c r="N161" s="38"/>
      <c r="O161" s="38"/>
      <c r="P161" s="38"/>
      <c r="Q161" s="38"/>
      <c r="R161" s="38"/>
      <c r="S161" s="38"/>
      <c r="T161" s="38"/>
      <c r="U161" s="38"/>
      <c r="V161" s="38"/>
      <c r="W161" s="38"/>
      <c r="X161" s="38"/>
      <c r="Y161" s="38"/>
      <c r="Z161" s="309"/>
    </row>
    <row r="162" spans="1:26">
      <c r="A162" s="1002">
        <v>2</v>
      </c>
      <c r="B162" s="1019" t="s">
        <v>3079</v>
      </c>
      <c r="C162" s="1019">
        <f>C145</f>
        <v>800</v>
      </c>
      <c r="D162" s="215">
        <f t="shared" ref="D162:Z163" si="9">C162</f>
        <v>800</v>
      </c>
      <c r="E162" s="215">
        <f t="shared" si="9"/>
        <v>800</v>
      </c>
      <c r="F162" s="215">
        <f t="shared" si="9"/>
        <v>800</v>
      </c>
      <c r="G162" s="215">
        <f t="shared" si="9"/>
        <v>800</v>
      </c>
      <c r="H162" s="215">
        <f t="shared" si="9"/>
        <v>800</v>
      </c>
      <c r="I162" s="215">
        <f t="shared" si="9"/>
        <v>800</v>
      </c>
      <c r="J162" s="215">
        <f t="shared" si="9"/>
        <v>800</v>
      </c>
      <c r="K162" s="215">
        <f t="shared" si="9"/>
        <v>800</v>
      </c>
      <c r="L162" s="215">
        <f t="shared" si="9"/>
        <v>800</v>
      </c>
      <c r="M162" s="215">
        <f t="shared" si="9"/>
        <v>800</v>
      </c>
      <c r="N162" s="215">
        <f t="shared" si="9"/>
        <v>800</v>
      </c>
      <c r="O162" s="215">
        <f t="shared" si="9"/>
        <v>800</v>
      </c>
      <c r="P162" s="215">
        <f t="shared" si="9"/>
        <v>800</v>
      </c>
      <c r="Q162" s="215">
        <f t="shared" si="9"/>
        <v>800</v>
      </c>
      <c r="R162" s="215">
        <f t="shared" si="9"/>
        <v>800</v>
      </c>
      <c r="S162" s="215">
        <f t="shared" si="9"/>
        <v>800</v>
      </c>
      <c r="T162" s="215">
        <f t="shared" si="9"/>
        <v>800</v>
      </c>
      <c r="U162" s="215">
        <f t="shared" si="9"/>
        <v>800</v>
      </c>
      <c r="V162" s="215">
        <f t="shared" si="9"/>
        <v>800</v>
      </c>
      <c r="W162" s="215">
        <f t="shared" si="9"/>
        <v>800</v>
      </c>
      <c r="X162" s="215">
        <f t="shared" si="9"/>
        <v>800</v>
      </c>
      <c r="Y162" s="215">
        <f t="shared" si="9"/>
        <v>800</v>
      </c>
      <c r="Z162" s="1020">
        <f t="shared" si="9"/>
        <v>800</v>
      </c>
    </row>
    <row r="163" spans="1:26">
      <c r="A163" s="1002">
        <v>2</v>
      </c>
      <c r="B163" s="1019" t="s">
        <v>3080</v>
      </c>
      <c r="C163" s="1019">
        <f>C146</f>
        <v>800</v>
      </c>
      <c r="D163" s="215">
        <f t="shared" si="9"/>
        <v>800</v>
      </c>
      <c r="E163" s="215">
        <f t="shared" si="9"/>
        <v>800</v>
      </c>
      <c r="F163" s="215">
        <f t="shared" si="9"/>
        <v>800</v>
      </c>
      <c r="G163" s="215">
        <f t="shared" si="9"/>
        <v>800</v>
      </c>
      <c r="H163" s="215">
        <f t="shared" si="9"/>
        <v>800</v>
      </c>
      <c r="I163" s="215">
        <f t="shared" si="9"/>
        <v>800</v>
      </c>
      <c r="J163" s="215">
        <f t="shared" si="9"/>
        <v>800</v>
      </c>
      <c r="K163" s="215">
        <f t="shared" si="9"/>
        <v>800</v>
      </c>
      <c r="L163" s="215">
        <f t="shared" si="9"/>
        <v>800</v>
      </c>
      <c r="M163" s="215">
        <f t="shared" si="9"/>
        <v>800</v>
      </c>
      <c r="N163" s="215">
        <f t="shared" si="9"/>
        <v>800</v>
      </c>
      <c r="O163" s="215">
        <f t="shared" si="9"/>
        <v>800</v>
      </c>
      <c r="P163" s="215">
        <f t="shared" si="9"/>
        <v>800</v>
      </c>
      <c r="Q163" s="215">
        <f t="shared" si="9"/>
        <v>800</v>
      </c>
      <c r="R163" s="215">
        <f t="shared" si="9"/>
        <v>800</v>
      </c>
      <c r="S163" s="215">
        <f t="shared" si="9"/>
        <v>800</v>
      </c>
      <c r="T163" s="215">
        <f t="shared" si="9"/>
        <v>800</v>
      </c>
      <c r="U163" s="215">
        <f t="shared" si="9"/>
        <v>800</v>
      </c>
      <c r="V163" s="215">
        <f t="shared" si="9"/>
        <v>800</v>
      </c>
      <c r="W163" s="215">
        <f t="shared" si="9"/>
        <v>800</v>
      </c>
      <c r="X163" s="215">
        <f t="shared" si="9"/>
        <v>800</v>
      </c>
      <c r="Y163" s="215">
        <f t="shared" si="9"/>
        <v>800</v>
      </c>
      <c r="Z163" s="1020">
        <f t="shared" si="9"/>
        <v>800</v>
      </c>
    </row>
    <row r="164" spans="1:26">
      <c r="A164" s="1002">
        <v>2</v>
      </c>
      <c r="B164" s="1019" t="s">
        <v>3081</v>
      </c>
      <c r="C164" s="1021">
        <f>C147+D159</f>
        <v>2500</v>
      </c>
      <c r="D164" s="1021">
        <f>D147+D159</f>
        <v>2750</v>
      </c>
      <c r="E164" s="1021">
        <f>E147+D159</f>
        <v>3000</v>
      </c>
      <c r="F164" s="1021">
        <f>F147+D159</f>
        <v>3250</v>
      </c>
      <c r="G164" s="1021">
        <f>G147+D159</f>
        <v>3500</v>
      </c>
      <c r="H164" s="1021">
        <f>H147+D159</f>
        <v>3750</v>
      </c>
      <c r="I164" s="1021">
        <f>I147+D159</f>
        <v>4000</v>
      </c>
      <c r="J164" s="1021">
        <f>J147+D159</f>
        <v>4250</v>
      </c>
      <c r="K164" s="1021">
        <f>K147+D159</f>
        <v>4500</v>
      </c>
      <c r="L164" s="1021">
        <f>L147+D159</f>
        <v>4750</v>
      </c>
      <c r="M164" s="1021">
        <f>M147+D159</f>
        <v>5000</v>
      </c>
      <c r="N164" s="1021">
        <f>N147+D159</f>
        <v>5250</v>
      </c>
      <c r="O164" s="1021">
        <f>O147+D159</f>
        <v>5500</v>
      </c>
      <c r="P164" s="1021">
        <f>P147+D159</f>
        <v>5750</v>
      </c>
      <c r="Q164" s="1021">
        <f>Q147+D159</f>
        <v>6000</v>
      </c>
      <c r="R164" s="1021">
        <f>R147+D159</f>
        <v>6250</v>
      </c>
      <c r="S164" s="1021">
        <f>S147+D159</f>
        <v>6500</v>
      </c>
      <c r="T164" s="1021">
        <f>T147+D159</f>
        <v>6750</v>
      </c>
      <c r="U164" s="1021">
        <f>U147+D159</f>
        <v>7000</v>
      </c>
      <c r="V164" s="1021">
        <f>V147+D159</f>
        <v>7250</v>
      </c>
      <c r="W164" s="1021">
        <f>W147+D159</f>
        <v>7500</v>
      </c>
      <c r="X164" s="1021">
        <f>X147+D159</f>
        <v>7750</v>
      </c>
      <c r="Y164" s="1021">
        <f>Y147+D159</f>
        <v>8000</v>
      </c>
      <c r="Z164" s="1022">
        <f>Z147+D159</f>
        <v>8250</v>
      </c>
    </row>
    <row r="165" spans="1:26">
      <c r="A165" s="1002">
        <v>2</v>
      </c>
      <c r="B165" s="1019" t="s">
        <v>3082</v>
      </c>
      <c r="C165" s="1019">
        <f t="shared" ref="C165:Z165" si="10">C148</f>
        <v>100</v>
      </c>
      <c r="D165" s="215">
        <f t="shared" si="10"/>
        <v>100</v>
      </c>
      <c r="E165" s="215">
        <f t="shared" si="10"/>
        <v>100</v>
      </c>
      <c r="F165" s="215">
        <f t="shared" si="10"/>
        <v>100</v>
      </c>
      <c r="G165" s="215">
        <f t="shared" si="10"/>
        <v>100</v>
      </c>
      <c r="H165" s="215">
        <f t="shared" si="10"/>
        <v>100</v>
      </c>
      <c r="I165" s="215">
        <f t="shared" si="10"/>
        <v>100</v>
      </c>
      <c r="J165" s="215">
        <f t="shared" si="10"/>
        <v>100</v>
      </c>
      <c r="K165" s="215">
        <f t="shared" si="10"/>
        <v>100</v>
      </c>
      <c r="L165" s="215">
        <f t="shared" si="10"/>
        <v>100</v>
      </c>
      <c r="M165" s="215">
        <f t="shared" si="10"/>
        <v>100</v>
      </c>
      <c r="N165" s="215">
        <f t="shared" si="10"/>
        <v>100</v>
      </c>
      <c r="O165" s="215">
        <f t="shared" si="10"/>
        <v>100</v>
      </c>
      <c r="P165" s="215">
        <f t="shared" si="10"/>
        <v>100</v>
      </c>
      <c r="Q165" s="215">
        <f t="shared" si="10"/>
        <v>100</v>
      </c>
      <c r="R165" s="215">
        <f t="shared" si="10"/>
        <v>100</v>
      </c>
      <c r="S165" s="215">
        <f t="shared" si="10"/>
        <v>100</v>
      </c>
      <c r="T165" s="215">
        <f t="shared" si="10"/>
        <v>100</v>
      </c>
      <c r="U165" s="215">
        <f t="shared" si="10"/>
        <v>100</v>
      </c>
      <c r="V165" s="215">
        <f t="shared" si="10"/>
        <v>100</v>
      </c>
      <c r="W165" s="215">
        <f t="shared" si="10"/>
        <v>100</v>
      </c>
      <c r="X165" s="215">
        <f t="shared" si="10"/>
        <v>100</v>
      </c>
      <c r="Y165" s="215">
        <f t="shared" si="10"/>
        <v>100</v>
      </c>
      <c r="Z165" s="1020">
        <f t="shared" si="10"/>
        <v>100</v>
      </c>
    </row>
    <row r="166" spans="1:26">
      <c r="A166" s="1002">
        <v>2</v>
      </c>
      <c r="B166" s="231"/>
      <c r="C166" s="231"/>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1014"/>
    </row>
    <row r="167" spans="1:26">
      <c r="A167" s="1002">
        <v>2</v>
      </c>
      <c r="B167" s="231" t="s">
        <v>2663</v>
      </c>
      <c r="C167" s="1023">
        <f t="shared" ref="C167:Z167" si="11">C164/C165</f>
        <v>25</v>
      </c>
      <c r="D167" s="1010">
        <f t="shared" si="11"/>
        <v>27.5</v>
      </c>
      <c r="E167" s="1010">
        <f t="shared" si="11"/>
        <v>30</v>
      </c>
      <c r="F167" s="1010">
        <f t="shared" si="11"/>
        <v>32.5</v>
      </c>
      <c r="G167" s="1010">
        <f t="shared" si="11"/>
        <v>35</v>
      </c>
      <c r="H167" s="1010">
        <f t="shared" si="11"/>
        <v>37.5</v>
      </c>
      <c r="I167" s="1010">
        <f t="shared" si="11"/>
        <v>40</v>
      </c>
      <c r="J167" s="1010">
        <f t="shared" si="11"/>
        <v>42.5</v>
      </c>
      <c r="K167" s="1010">
        <f t="shared" si="11"/>
        <v>45</v>
      </c>
      <c r="L167" s="1010">
        <f t="shared" si="11"/>
        <v>47.5</v>
      </c>
      <c r="M167" s="1010">
        <f t="shared" si="11"/>
        <v>50</v>
      </c>
      <c r="N167" s="1010">
        <f t="shared" si="11"/>
        <v>52.5</v>
      </c>
      <c r="O167" s="1010">
        <f t="shared" si="11"/>
        <v>55</v>
      </c>
      <c r="P167" s="1010">
        <f t="shared" si="11"/>
        <v>57.5</v>
      </c>
      <c r="Q167" s="1010">
        <f t="shared" si="11"/>
        <v>60</v>
      </c>
      <c r="R167" s="1010">
        <f t="shared" si="11"/>
        <v>62.5</v>
      </c>
      <c r="S167" s="1010">
        <f t="shared" si="11"/>
        <v>65</v>
      </c>
      <c r="T167" s="1010">
        <f t="shared" si="11"/>
        <v>67.5</v>
      </c>
      <c r="U167" s="1010">
        <f t="shared" si="11"/>
        <v>70</v>
      </c>
      <c r="V167" s="1010">
        <f t="shared" si="11"/>
        <v>72.5</v>
      </c>
      <c r="W167" s="1010">
        <f t="shared" si="11"/>
        <v>75</v>
      </c>
      <c r="X167" s="1010">
        <f t="shared" si="11"/>
        <v>77.5</v>
      </c>
      <c r="Y167" s="1010">
        <f t="shared" si="11"/>
        <v>80</v>
      </c>
      <c r="Z167" s="1011">
        <f t="shared" si="11"/>
        <v>82.5</v>
      </c>
    </row>
    <row r="168" spans="1:26">
      <c r="A168" s="1002">
        <v>2</v>
      </c>
      <c r="B168" s="231" t="s">
        <v>3083</v>
      </c>
      <c r="C168" s="1024">
        <f t="shared" ref="C168:Z168" si="12">C167-1</f>
        <v>24</v>
      </c>
      <c r="D168" s="442">
        <f t="shared" si="12"/>
        <v>26.5</v>
      </c>
      <c r="E168" s="442">
        <f t="shared" si="12"/>
        <v>29</v>
      </c>
      <c r="F168" s="442">
        <f t="shared" si="12"/>
        <v>31.5</v>
      </c>
      <c r="G168" s="442">
        <f t="shared" si="12"/>
        <v>34</v>
      </c>
      <c r="H168" s="442">
        <f t="shared" si="12"/>
        <v>36.5</v>
      </c>
      <c r="I168" s="442">
        <f t="shared" si="12"/>
        <v>39</v>
      </c>
      <c r="J168" s="442">
        <f t="shared" si="12"/>
        <v>41.5</v>
      </c>
      <c r="K168" s="442">
        <f t="shared" si="12"/>
        <v>44</v>
      </c>
      <c r="L168" s="442">
        <f t="shared" si="12"/>
        <v>46.5</v>
      </c>
      <c r="M168" s="442">
        <f t="shared" si="12"/>
        <v>49</v>
      </c>
      <c r="N168" s="442">
        <f t="shared" si="12"/>
        <v>51.5</v>
      </c>
      <c r="O168" s="442">
        <f t="shared" si="12"/>
        <v>54</v>
      </c>
      <c r="P168" s="442">
        <f t="shared" si="12"/>
        <v>56.5</v>
      </c>
      <c r="Q168" s="442">
        <f t="shared" si="12"/>
        <v>59</v>
      </c>
      <c r="R168" s="442">
        <f t="shared" si="12"/>
        <v>61.5</v>
      </c>
      <c r="S168" s="442">
        <f t="shared" si="12"/>
        <v>64</v>
      </c>
      <c r="T168" s="442">
        <f t="shared" si="12"/>
        <v>66.5</v>
      </c>
      <c r="U168" s="442">
        <f t="shared" si="12"/>
        <v>69</v>
      </c>
      <c r="V168" s="442">
        <f t="shared" si="12"/>
        <v>71.5</v>
      </c>
      <c r="W168" s="442">
        <f t="shared" si="12"/>
        <v>74</v>
      </c>
      <c r="X168" s="442">
        <f t="shared" si="12"/>
        <v>76.5</v>
      </c>
      <c r="Y168" s="442">
        <f t="shared" si="12"/>
        <v>79</v>
      </c>
      <c r="Z168" s="1013">
        <f t="shared" si="12"/>
        <v>81.5</v>
      </c>
    </row>
    <row r="169" spans="1:26">
      <c r="A169" s="1002">
        <v>2</v>
      </c>
      <c r="B169" s="231" t="s">
        <v>3084</v>
      </c>
      <c r="C169" s="1023">
        <f t="shared" ref="C169:Z169" si="13">C165+C165/C168</f>
        <v>104.16666666666667</v>
      </c>
      <c r="D169" s="1010">
        <f t="shared" si="13"/>
        <v>103.77358490566037</v>
      </c>
      <c r="E169" s="1010">
        <f t="shared" si="13"/>
        <v>103.44827586206897</v>
      </c>
      <c r="F169" s="1010">
        <f t="shared" si="13"/>
        <v>103.17460317460318</v>
      </c>
      <c r="G169" s="1010">
        <f t="shared" si="13"/>
        <v>102.94117647058823</v>
      </c>
      <c r="H169" s="1010">
        <f t="shared" si="13"/>
        <v>102.73972602739725</v>
      </c>
      <c r="I169" s="1010">
        <f t="shared" si="13"/>
        <v>102.56410256410257</v>
      </c>
      <c r="J169" s="1010">
        <f t="shared" si="13"/>
        <v>102.40963855421687</v>
      </c>
      <c r="K169" s="1010">
        <f t="shared" si="13"/>
        <v>102.27272727272727</v>
      </c>
      <c r="L169" s="1010">
        <f t="shared" si="13"/>
        <v>102.15053763440861</v>
      </c>
      <c r="M169" s="1010">
        <f t="shared" si="13"/>
        <v>102.04081632653062</v>
      </c>
      <c r="N169" s="1010">
        <f t="shared" si="13"/>
        <v>101.94174757281553</v>
      </c>
      <c r="O169" s="1010">
        <f t="shared" si="13"/>
        <v>101.85185185185185</v>
      </c>
      <c r="P169" s="1010">
        <f t="shared" si="13"/>
        <v>101.76991150442478</v>
      </c>
      <c r="Q169" s="1010">
        <f t="shared" si="13"/>
        <v>101.69491525423729</v>
      </c>
      <c r="R169" s="1010">
        <f t="shared" si="13"/>
        <v>101.6260162601626</v>
      </c>
      <c r="S169" s="1010">
        <f t="shared" si="13"/>
        <v>101.5625</v>
      </c>
      <c r="T169" s="1010">
        <f t="shared" si="13"/>
        <v>101.50375939849624</v>
      </c>
      <c r="U169" s="1010">
        <f t="shared" si="13"/>
        <v>101.44927536231884</v>
      </c>
      <c r="V169" s="1010">
        <f t="shared" si="13"/>
        <v>101.3986013986014</v>
      </c>
      <c r="W169" s="1010">
        <f t="shared" si="13"/>
        <v>101.35135135135135</v>
      </c>
      <c r="X169" s="1010">
        <f t="shared" si="13"/>
        <v>101.30718954248366</v>
      </c>
      <c r="Y169" s="1010">
        <f t="shared" si="13"/>
        <v>101.26582278481013</v>
      </c>
      <c r="Z169" s="1011">
        <f t="shared" si="13"/>
        <v>101.22699386503068</v>
      </c>
    </row>
    <row r="170" spans="1:26">
      <c r="A170" s="1002">
        <v>2</v>
      </c>
      <c r="B170" s="231" t="s">
        <v>3085</v>
      </c>
      <c r="C170" s="1023">
        <f t="shared" ref="C170:Z170" si="14">C162/C168</f>
        <v>33.333333333333336</v>
      </c>
      <c r="D170" s="1010">
        <f t="shared" si="14"/>
        <v>30.188679245283019</v>
      </c>
      <c r="E170" s="1010">
        <f t="shared" si="14"/>
        <v>27.586206896551722</v>
      </c>
      <c r="F170" s="1010">
        <f t="shared" si="14"/>
        <v>25.396825396825395</v>
      </c>
      <c r="G170" s="1010">
        <f t="shared" si="14"/>
        <v>23.529411764705884</v>
      </c>
      <c r="H170" s="1010">
        <f t="shared" si="14"/>
        <v>21.917808219178081</v>
      </c>
      <c r="I170" s="1010">
        <f t="shared" si="14"/>
        <v>20.512820512820515</v>
      </c>
      <c r="J170" s="1010">
        <f t="shared" si="14"/>
        <v>19.277108433734941</v>
      </c>
      <c r="K170" s="1010">
        <f t="shared" si="14"/>
        <v>18.181818181818183</v>
      </c>
      <c r="L170" s="1010">
        <f t="shared" si="14"/>
        <v>17.204301075268816</v>
      </c>
      <c r="M170" s="1010">
        <f t="shared" si="14"/>
        <v>16.326530612244898</v>
      </c>
      <c r="N170" s="1010">
        <f t="shared" si="14"/>
        <v>15.533980582524272</v>
      </c>
      <c r="O170" s="1010">
        <f t="shared" si="14"/>
        <v>14.814814814814815</v>
      </c>
      <c r="P170" s="1010">
        <f t="shared" si="14"/>
        <v>14.159292035398231</v>
      </c>
      <c r="Q170" s="1010">
        <f t="shared" si="14"/>
        <v>13.559322033898304</v>
      </c>
      <c r="R170" s="1010">
        <f t="shared" si="14"/>
        <v>13.008130081300813</v>
      </c>
      <c r="S170" s="1010">
        <f t="shared" si="14"/>
        <v>12.5</v>
      </c>
      <c r="T170" s="1010">
        <f t="shared" si="14"/>
        <v>12.030075187969924</v>
      </c>
      <c r="U170" s="1010">
        <f t="shared" si="14"/>
        <v>11.594202898550725</v>
      </c>
      <c r="V170" s="1010">
        <f t="shared" si="14"/>
        <v>11.188811188811188</v>
      </c>
      <c r="W170" s="1010">
        <f t="shared" si="14"/>
        <v>10.810810810810811</v>
      </c>
      <c r="X170" s="1010">
        <f t="shared" si="14"/>
        <v>10.457516339869281</v>
      </c>
      <c r="Y170" s="1010">
        <f t="shared" si="14"/>
        <v>10.126582278481013</v>
      </c>
      <c r="Z170" s="1011">
        <f t="shared" si="14"/>
        <v>9.8159509202453989</v>
      </c>
    </row>
    <row r="171" spans="1:26">
      <c r="A171" s="1002">
        <v>2</v>
      </c>
      <c r="B171" s="231" t="s">
        <v>3086</v>
      </c>
      <c r="C171" s="1023">
        <f t="shared" ref="C171:Z171" si="15">C163/C168</f>
        <v>33.333333333333336</v>
      </c>
      <c r="D171" s="1010">
        <f t="shared" si="15"/>
        <v>30.188679245283019</v>
      </c>
      <c r="E171" s="1010">
        <f t="shared" si="15"/>
        <v>27.586206896551722</v>
      </c>
      <c r="F171" s="1010">
        <f t="shared" si="15"/>
        <v>25.396825396825395</v>
      </c>
      <c r="G171" s="1010">
        <f t="shared" si="15"/>
        <v>23.529411764705884</v>
      </c>
      <c r="H171" s="1010">
        <f t="shared" si="15"/>
        <v>21.917808219178081</v>
      </c>
      <c r="I171" s="1010">
        <f t="shared" si="15"/>
        <v>20.512820512820515</v>
      </c>
      <c r="J171" s="1010">
        <f t="shared" si="15"/>
        <v>19.277108433734941</v>
      </c>
      <c r="K171" s="1010">
        <f t="shared" si="15"/>
        <v>18.181818181818183</v>
      </c>
      <c r="L171" s="1010">
        <f t="shared" si="15"/>
        <v>17.204301075268816</v>
      </c>
      <c r="M171" s="1010">
        <f t="shared" si="15"/>
        <v>16.326530612244898</v>
      </c>
      <c r="N171" s="1010">
        <f t="shared" si="15"/>
        <v>15.533980582524272</v>
      </c>
      <c r="O171" s="1010">
        <f t="shared" si="15"/>
        <v>14.814814814814815</v>
      </c>
      <c r="P171" s="1010">
        <f t="shared" si="15"/>
        <v>14.159292035398231</v>
      </c>
      <c r="Q171" s="1010">
        <f t="shared" si="15"/>
        <v>13.559322033898304</v>
      </c>
      <c r="R171" s="1010">
        <f t="shared" si="15"/>
        <v>13.008130081300813</v>
      </c>
      <c r="S171" s="1010">
        <f t="shared" si="15"/>
        <v>12.5</v>
      </c>
      <c r="T171" s="1010">
        <f t="shared" si="15"/>
        <v>12.030075187969924</v>
      </c>
      <c r="U171" s="1010">
        <f t="shared" si="15"/>
        <v>11.594202898550725</v>
      </c>
      <c r="V171" s="1010">
        <f t="shared" si="15"/>
        <v>11.188811188811188</v>
      </c>
      <c r="W171" s="1010">
        <f t="shared" si="15"/>
        <v>10.810810810810811</v>
      </c>
      <c r="X171" s="1010">
        <f t="shared" si="15"/>
        <v>10.457516339869281</v>
      </c>
      <c r="Y171" s="1010">
        <f t="shared" si="15"/>
        <v>10.126582278481013</v>
      </c>
      <c r="Z171" s="1011">
        <f t="shared" si="15"/>
        <v>9.8159509202453989</v>
      </c>
    </row>
    <row r="172" spans="1:26">
      <c r="A172" s="1002">
        <v>2</v>
      </c>
      <c r="B172" s="231"/>
      <c r="C172" s="231"/>
      <c r="D172" s="300"/>
      <c r="E172" s="300"/>
      <c r="F172" s="300"/>
      <c r="G172" s="300"/>
      <c r="H172" s="300"/>
      <c r="I172" s="300"/>
      <c r="J172" s="300"/>
      <c r="K172" s="300"/>
      <c r="L172" s="300"/>
      <c r="M172" s="300"/>
      <c r="N172" s="300"/>
      <c r="O172" s="300"/>
      <c r="P172" s="300"/>
      <c r="Q172" s="300"/>
      <c r="R172" s="300"/>
      <c r="S172" s="300"/>
      <c r="T172" s="300"/>
      <c r="U172" s="300"/>
      <c r="V172" s="300"/>
      <c r="W172" s="300"/>
      <c r="X172" s="300"/>
      <c r="Y172" s="300"/>
      <c r="Z172" s="1014"/>
    </row>
    <row r="173" spans="1:26">
      <c r="A173" s="1002">
        <v>2</v>
      </c>
      <c r="B173" s="231" t="s">
        <v>3087</v>
      </c>
      <c r="C173" s="1025">
        <f t="shared" ref="C173:Z173" si="16">1/(C169/C165)^2</f>
        <v>0.92159999999999986</v>
      </c>
      <c r="D173" s="1016">
        <f t="shared" si="16"/>
        <v>0.92859504132231396</v>
      </c>
      <c r="E173" s="1016">
        <f t="shared" si="16"/>
        <v>0.9344444444444443</v>
      </c>
      <c r="F173" s="1016">
        <f t="shared" si="16"/>
        <v>0.93940828402366849</v>
      </c>
      <c r="G173" s="1016">
        <f t="shared" si="16"/>
        <v>0.94367346938775531</v>
      </c>
      <c r="H173" s="1016">
        <f t="shared" si="16"/>
        <v>0.94737777777777787</v>
      </c>
      <c r="I173" s="1016">
        <f t="shared" si="16"/>
        <v>0.95062499999999983</v>
      </c>
      <c r="J173" s="1016">
        <f t="shared" si="16"/>
        <v>0.95349480968858114</v>
      </c>
      <c r="K173" s="1016">
        <f t="shared" si="16"/>
        <v>0.95604938271604933</v>
      </c>
      <c r="L173" s="1016">
        <f t="shared" si="16"/>
        <v>0.95833795013850431</v>
      </c>
      <c r="M173" s="1016">
        <f t="shared" si="16"/>
        <v>0.96039999999999992</v>
      </c>
      <c r="N173" s="1016">
        <f t="shared" si="16"/>
        <v>0.96226757369614524</v>
      </c>
      <c r="O173" s="1016">
        <f t="shared" si="16"/>
        <v>0.96396694214876055</v>
      </c>
      <c r="P173" s="1016">
        <f t="shared" si="16"/>
        <v>0.96551984877126662</v>
      </c>
      <c r="Q173" s="1016">
        <f t="shared" si="16"/>
        <v>0.9669444444444445</v>
      </c>
      <c r="R173" s="1016">
        <f t="shared" si="16"/>
        <v>0.96825599999999978</v>
      </c>
      <c r="S173" s="1016">
        <f t="shared" si="16"/>
        <v>0.96946745562130177</v>
      </c>
      <c r="T173" s="1016">
        <f t="shared" si="16"/>
        <v>0.97058984910836754</v>
      </c>
      <c r="U173" s="1016">
        <f t="shared" si="16"/>
        <v>0.97163265306122437</v>
      </c>
      <c r="V173" s="1016">
        <f t="shared" si="16"/>
        <v>0.97260404280618318</v>
      </c>
      <c r="W173" s="1016">
        <f t="shared" si="16"/>
        <v>0.97351111111111088</v>
      </c>
      <c r="X173" s="1016">
        <f t="shared" si="16"/>
        <v>0.97436004162330903</v>
      </c>
      <c r="Y173" s="1016">
        <f t="shared" si="16"/>
        <v>0.97515624999999995</v>
      </c>
      <c r="Z173" s="1017">
        <f t="shared" si="16"/>
        <v>0.97590449954086322</v>
      </c>
    </row>
    <row r="174" spans="1:26">
      <c r="A174" s="1002">
        <v>2</v>
      </c>
      <c r="B174" s="231" t="s">
        <v>3088</v>
      </c>
      <c r="C174" s="1025">
        <f t="shared" ref="C174:Z174" si="17">(C169/C165)^2</f>
        <v>1.0850694444444446</v>
      </c>
      <c r="D174" s="1016">
        <f t="shared" si="17"/>
        <v>1.0768956924172304</v>
      </c>
      <c r="E174" s="1016">
        <f t="shared" si="17"/>
        <v>1.0701545778834722</v>
      </c>
      <c r="F174" s="1016">
        <f t="shared" si="17"/>
        <v>1.0644998740236837</v>
      </c>
      <c r="G174" s="1016">
        <f t="shared" si="17"/>
        <v>1.0596885813148786</v>
      </c>
      <c r="H174" s="1016">
        <f t="shared" si="17"/>
        <v>1.0555451304184649</v>
      </c>
      <c r="I174" s="1016">
        <f t="shared" si="17"/>
        <v>1.0519395134779752</v>
      </c>
      <c r="J174" s="1016">
        <f t="shared" si="17"/>
        <v>1.0487734068805343</v>
      </c>
      <c r="K174" s="1016">
        <f t="shared" si="17"/>
        <v>1.0459710743801653</v>
      </c>
      <c r="L174" s="1016">
        <f t="shared" si="17"/>
        <v>1.0434732338998727</v>
      </c>
      <c r="M174" s="1016">
        <f t="shared" si="17"/>
        <v>1.0412328196584757</v>
      </c>
      <c r="N174" s="1016">
        <f t="shared" si="17"/>
        <v>1.0392119898199641</v>
      </c>
      <c r="O174" s="1016">
        <f t="shared" si="17"/>
        <v>1.0373799725651576</v>
      </c>
      <c r="P174" s="1016">
        <f t="shared" si="17"/>
        <v>1.035711488761845</v>
      </c>
      <c r="Q174" s="1016">
        <f t="shared" si="17"/>
        <v>1.0341855788566503</v>
      </c>
      <c r="R174" s="1016">
        <f t="shared" si="17"/>
        <v>1.0327847180910836</v>
      </c>
      <c r="S174" s="1016">
        <f t="shared" si="17"/>
        <v>1.031494140625</v>
      </c>
      <c r="T174" s="1016">
        <f t="shared" si="17"/>
        <v>1.0303013172027815</v>
      </c>
      <c r="U174" s="1016">
        <f t="shared" si="17"/>
        <v>1.0291955471539593</v>
      </c>
      <c r="V174" s="1016">
        <f t="shared" si="17"/>
        <v>1.0281676365592449</v>
      </c>
      <c r="W174" s="1016">
        <f t="shared" si="17"/>
        <v>1.0272096420745072</v>
      </c>
      <c r="X174" s="1016">
        <f t="shared" si="17"/>
        <v>1.0263146652996711</v>
      </c>
      <c r="Y174" s="1016">
        <f t="shared" si="17"/>
        <v>1.025476686428457</v>
      </c>
      <c r="Z174" s="1017">
        <f t="shared" si="17"/>
        <v>1.0246904286950957</v>
      </c>
    </row>
    <row r="175" spans="1:26">
      <c r="A175" s="1002"/>
      <c r="B175" s="1003"/>
      <c r="C175" s="1003"/>
      <c r="D175" s="300"/>
      <c r="E175" s="38"/>
      <c r="F175" s="38"/>
      <c r="G175" s="38"/>
      <c r="H175" s="38"/>
      <c r="I175" s="38"/>
      <c r="J175" s="38"/>
      <c r="K175" s="38"/>
      <c r="L175" s="38"/>
      <c r="M175" s="38"/>
      <c r="N175" s="38"/>
      <c r="O175" s="38"/>
      <c r="P175" s="38"/>
      <c r="Q175" s="38"/>
      <c r="R175" s="38"/>
      <c r="S175" s="38"/>
      <c r="T175" s="38"/>
      <c r="U175" s="38"/>
      <c r="V175" s="38"/>
      <c r="W175" s="38"/>
      <c r="X175" s="38"/>
      <c r="Y175" s="38"/>
      <c r="Z175" s="309"/>
    </row>
    <row r="176" spans="1:26">
      <c r="A176" s="1002"/>
      <c r="B176" s="1026" t="s">
        <v>3090</v>
      </c>
      <c r="C176" s="1027">
        <f t="shared" ref="C176:Z176" si="18">C154/C171</f>
        <v>2.6666666666666665</v>
      </c>
      <c r="D176" s="1027">
        <f t="shared" si="18"/>
        <v>2.3043478260869565</v>
      </c>
      <c r="E176" s="1027">
        <f t="shared" si="18"/>
        <v>2.0714285714285716</v>
      </c>
      <c r="F176" s="1027">
        <f t="shared" si="18"/>
        <v>1.9090909090909092</v>
      </c>
      <c r="G176" s="1027">
        <f t="shared" si="18"/>
        <v>1.7894736842105263</v>
      </c>
      <c r="H176" s="1027">
        <f t="shared" si="18"/>
        <v>1.6976744186046513</v>
      </c>
      <c r="I176" s="1027">
        <f t="shared" si="18"/>
        <v>1.625</v>
      </c>
      <c r="J176" s="1027">
        <f t="shared" si="18"/>
        <v>1.5660377358490565</v>
      </c>
      <c r="K176" s="1027">
        <f t="shared" si="18"/>
        <v>1.5172413793103445</v>
      </c>
      <c r="L176" s="1027">
        <f t="shared" si="18"/>
        <v>1.4761904761904763</v>
      </c>
      <c r="M176" s="1027">
        <f t="shared" si="18"/>
        <v>1.4411764705882353</v>
      </c>
      <c r="N176" s="1027">
        <f t="shared" si="18"/>
        <v>1.4109589041095889</v>
      </c>
      <c r="O176" s="1027">
        <f t="shared" si="18"/>
        <v>1.3846153846153848</v>
      </c>
      <c r="P176" s="1027">
        <f t="shared" si="18"/>
        <v>1.3614457831325302</v>
      </c>
      <c r="Q176" s="1027">
        <f t="shared" si="18"/>
        <v>1.3409090909090911</v>
      </c>
      <c r="R176" s="1027">
        <f t="shared" si="18"/>
        <v>1.3225806451612903</v>
      </c>
      <c r="S176" s="1027">
        <f t="shared" si="18"/>
        <v>1.306122448979592</v>
      </c>
      <c r="T176" s="1027">
        <f t="shared" si="18"/>
        <v>1.2912621359223302</v>
      </c>
      <c r="U176" s="1027">
        <f t="shared" si="18"/>
        <v>1.2777777777777777</v>
      </c>
      <c r="V176" s="1027">
        <f t="shared" si="18"/>
        <v>1.265486725663717</v>
      </c>
      <c r="W176" s="1027">
        <f t="shared" si="18"/>
        <v>1.2542372881355932</v>
      </c>
      <c r="X176" s="1027">
        <f t="shared" si="18"/>
        <v>1.2439024390243902</v>
      </c>
      <c r="Y176" s="1027">
        <f t="shared" si="18"/>
        <v>1.234375</v>
      </c>
      <c r="Z176" s="1028">
        <f t="shared" si="18"/>
        <v>1.225563909774436</v>
      </c>
    </row>
    <row r="177" spans="1:58" ht="13.5" thickBot="1">
      <c r="A177" s="1029"/>
      <c r="B177" s="1030"/>
      <c r="C177" s="1031"/>
      <c r="D177" s="327"/>
      <c r="E177" s="327"/>
      <c r="F177" s="327"/>
      <c r="G177" s="327"/>
      <c r="H177" s="327"/>
      <c r="I177" s="327"/>
      <c r="J177" s="327"/>
      <c r="K177" s="327"/>
      <c r="L177" s="313"/>
      <c r="M177" s="327"/>
      <c r="N177" s="327"/>
      <c r="O177" s="327"/>
      <c r="P177" s="327"/>
      <c r="Q177" s="327"/>
      <c r="R177" s="327"/>
      <c r="S177" s="327"/>
      <c r="T177" s="327"/>
      <c r="U177" s="327"/>
      <c r="V177" s="327"/>
      <c r="W177" s="327"/>
      <c r="X177" s="327"/>
      <c r="Y177" s="327"/>
      <c r="Z177" s="313"/>
    </row>
    <row r="178" spans="1:58">
      <c r="B178" s="318"/>
    </row>
    <row r="179" spans="1:58">
      <c r="B179" s="318"/>
    </row>
    <row r="180" spans="1:58" ht="13.5" thickBot="1">
      <c r="B180" s="318"/>
    </row>
    <row r="181" spans="1:58">
      <c r="A181" s="996"/>
      <c r="B181" s="997"/>
      <c r="C181" s="998"/>
      <c r="D181" s="998"/>
      <c r="E181" s="998"/>
      <c r="F181" s="998"/>
      <c r="G181" s="998"/>
      <c r="H181" s="998"/>
      <c r="I181" s="998"/>
      <c r="J181" s="998"/>
      <c r="K181" s="998"/>
      <c r="L181" s="998"/>
      <c r="M181" s="998"/>
      <c r="N181" s="998"/>
      <c r="O181" s="998"/>
      <c r="P181" s="998"/>
      <c r="Q181" s="998"/>
      <c r="R181" s="998"/>
      <c r="S181" s="998"/>
      <c r="T181" s="998"/>
      <c r="U181" s="998"/>
      <c r="V181" s="998"/>
      <c r="W181" s="998"/>
      <c r="X181" s="998"/>
      <c r="Y181" s="998"/>
      <c r="Z181" s="306"/>
    </row>
    <row r="182" spans="1:58">
      <c r="A182" s="999" t="s">
        <v>3070</v>
      </c>
      <c r="B182" s="1003"/>
      <c r="C182" s="1032" t="s">
        <v>3091</v>
      </c>
      <c r="D182" s="1001">
        <v>0.25</v>
      </c>
      <c r="E182" s="1033"/>
      <c r="F182" s="1033"/>
      <c r="G182" s="1033"/>
      <c r="H182" s="1033"/>
      <c r="I182" s="38"/>
      <c r="J182" s="38"/>
      <c r="K182" s="38"/>
      <c r="L182" s="38"/>
      <c r="M182" s="38"/>
      <c r="N182" s="38"/>
      <c r="O182" s="38"/>
      <c r="P182" s="38"/>
      <c r="Q182" s="38"/>
      <c r="R182" s="38"/>
      <c r="S182" s="38"/>
      <c r="T182" s="38"/>
      <c r="U182" s="38"/>
      <c r="V182" s="38"/>
      <c r="W182" s="38"/>
      <c r="X182" s="38"/>
      <c r="Y182" s="38"/>
      <c r="Z182" s="309"/>
    </row>
    <row r="183" spans="1:58">
      <c r="A183" s="1002"/>
      <c r="B183" s="1003"/>
      <c r="C183" s="1003"/>
      <c r="D183" s="38"/>
      <c r="E183" s="38"/>
      <c r="F183" s="38"/>
      <c r="G183" s="38"/>
      <c r="H183" s="38"/>
      <c r="I183" s="38"/>
      <c r="J183" s="38"/>
      <c r="K183" s="38"/>
      <c r="L183" s="38"/>
      <c r="M183" s="38"/>
      <c r="N183" s="38"/>
      <c r="O183" s="38"/>
      <c r="P183" s="38"/>
      <c r="Q183" s="38"/>
      <c r="R183" s="38"/>
      <c r="S183" s="38"/>
      <c r="T183" s="38"/>
      <c r="U183" s="38"/>
      <c r="V183" s="38"/>
      <c r="W183" s="38"/>
      <c r="X183" s="38"/>
      <c r="Y183" s="38"/>
      <c r="Z183" s="309"/>
    </row>
    <row r="184" spans="1:58">
      <c r="A184" s="1002" t="s">
        <v>3078</v>
      </c>
      <c r="B184" s="1003"/>
      <c r="C184" s="1003"/>
      <c r="D184" s="38"/>
      <c r="E184" s="38"/>
      <c r="F184" s="38"/>
      <c r="G184" s="38"/>
      <c r="H184" s="38"/>
      <c r="I184" s="38"/>
      <c r="J184" s="38"/>
      <c r="K184" s="38"/>
      <c r="L184" s="38"/>
      <c r="M184" s="38"/>
      <c r="N184" s="38"/>
      <c r="O184" s="38"/>
      <c r="P184" s="38"/>
      <c r="Q184" s="38"/>
      <c r="R184" s="38"/>
      <c r="S184" s="38"/>
      <c r="T184" s="38"/>
      <c r="U184" s="38"/>
      <c r="V184" s="38"/>
      <c r="W184" s="38"/>
      <c r="X184" s="38"/>
      <c r="Y184" s="38"/>
      <c r="Z184" s="309"/>
    </row>
    <row r="185" spans="1:58">
      <c r="A185" s="1002">
        <v>1</v>
      </c>
      <c r="B185" s="1004" t="s">
        <v>3079</v>
      </c>
      <c r="C185" s="1005">
        <v>800</v>
      </c>
      <c r="D185" s="38">
        <f t="shared" ref="D185:BF187" si="19">C185</f>
        <v>800</v>
      </c>
      <c r="E185" s="38">
        <f t="shared" si="19"/>
        <v>800</v>
      </c>
      <c r="F185" s="38">
        <f t="shared" si="19"/>
        <v>800</v>
      </c>
      <c r="G185" s="38">
        <f t="shared" si="19"/>
        <v>800</v>
      </c>
      <c r="H185" s="38">
        <f t="shared" si="19"/>
        <v>800</v>
      </c>
      <c r="I185" s="38">
        <f t="shared" si="19"/>
        <v>800</v>
      </c>
      <c r="J185" s="38">
        <f t="shared" si="19"/>
        <v>800</v>
      </c>
      <c r="K185" s="38">
        <f t="shared" si="19"/>
        <v>800</v>
      </c>
      <c r="L185" s="38">
        <f t="shared" si="19"/>
        <v>800</v>
      </c>
      <c r="M185" s="38">
        <f t="shared" si="19"/>
        <v>800</v>
      </c>
      <c r="N185" s="38">
        <f t="shared" si="19"/>
        <v>800</v>
      </c>
      <c r="O185" s="38">
        <f t="shared" si="19"/>
        <v>800</v>
      </c>
      <c r="P185" s="38">
        <f t="shared" si="19"/>
        <v>800</v>
      </c>
      <c r="Q185" s="38">
        <f t="shared" si="19"/>
        <v>800</v>
      </c>
      <c r="R185" s="38">
        <f t="shared" si="19"/>
        <v>800</v>
      </c>
      <c r="S185" s="38">
        <f t="shared" si="19"/>
        <v>800</v>
      </c>
      <c r="T185" s="38">
        <f t="shared" si="19"/>
        <v>800</v>
      </c>
      <c r="U185" s="38">
        <f t="shared" si="19"/>
        <v>800</v>
      </c>
      <c r="V185" s="38">
        <f t="shared" si="19"/>
        <v>800</v>
      </c>
      <c r="W185" s="38">
        <f t="shared" si="19"/>
        <v>800</v>
      </c>
      <c r="X185" s="38">
        <f t="shared" si="19"/>
        <v>800</v>
      </c>
      <c r="Y185" s="38">
        <f t="shared" si="19"/>
        <v>800</v>
      </c>
      <c r="Z185" s="309">
        <f t="shared" si="19"/>
        <v>800</v>
      </c>
      <c r="AA185">
        <f t="shared" si="19"/>
        <v>800</v>
      </c>
      <c r="AB185">
        <f t="shared" si="19"/>
        <v>800</v>
      </c>
      <c r="AC185">
        <f t="shared" si="19"/>
        <v>800</v>
      </c>
      <c r="AD185">
        <f t="shared" si="19"/>
        <v>800</v>
      </c>
      <c r="AE185">
        <f t="shared" si="19"/>
        <v>800</v>
      </c>
      <c r="AF185">
        <f t="shared" si="19"/>
        <v>800</v>
      </c>
      <c r="AG185">
        <f t="shared" si="19"/>
        <v>800</v>
      </c>
      <c r="AH185">
        <f t="shared" si="19"/>
        <v>800</v>
      </c>
      <c r="AI185">
        <f t="shared" si="19"/>
        <v>800</v>
      </c>
      <c r="AJ185">
        <f t="shared" si="19"/>
        <v>800</v>
      </c>
      <c r="AK185">
        <f t="shared" si="19"/>
        <v>800</v>
      </c>
      <c r="AL185">
        <f t="shared" si="19"/>
        <v>800</v>
      </c>
      <c r="AM185">
        <f t="shared" si="19"/>
        <v>800</v>
      </c>
      <c r="AN185">
        <f t="shared" si="19"/>
        <v>800</v>
      </c>
      <c r="AO185">
        <f t="shared" si="19"/>
        <v>800</v>
      </c>
      <c r="AP185">
        <f t="shared" si="19"/>
        <v>800</v>
      </c>
      <c r="AQ185">
        <f t="shared" si="19"/>
        <v>800</v>
      </c>
      <c r="AR185">
        <f t="shared" si="19"/>
        <v>800</v>
      </c>
      <c r="AS185">
        <f t="shared" si="19"/>
        <v>800</v>
      </c>
      <c r="AT185">
        <f t="shared" si="19"/>
        <v>800</v>
      </c>
      <c r="AU185">
        <f t="shared" si="19"/>
        <v>800</v>
      </c>
      <c r="AV185">
        <f t="shared" si="19"/>
        <v>800</v>
      </c>
      <c r="AW185">
        <f t="shared" si="19"/>
        <v>800</v>
      </c>
      <c r="AX185">
        <f t="shared" si="19"/>
        <v>800</v>
      </c>
      <c r="AY185">
        <f t="shared" si="19"/>
        <v>800</v>
      </c>
      <c r="AZ185">
        <f t="shared" si="19"/>
        <v>800</v>
      </c>
      <c r="BA185">
        <f t="shared" si="19"/>
        <v>800</v>
      </c>
      <c r="BB185">
        <f t="shared" si="19"/>
        <v>800</v>
      </c>
      <c r="BC185">
        <f t="shared" si="19"/>
        <v>800</v>
      </c>
      <c r="BD185">
        <f t="shared" si="19"/>
        <v>800</v>
      </c>
      <c r="BE185">
        <f t="shared" si="19"/>
        <v>800</v>
      </c>
      <c r="BF185">
        <f t="shared" si="19"/>
        <v>800</v>
      </c>
    </row>
    <row r="186" spans="1:58">
      <c r="A186" s="1002">
        <v>1</v>
      </c>
      <c r="B186" s="1004" t="s">
        <v>3080</v>
      </c>
      <c r="C186" s="1005">
        <v>800</v>
      </c>
      <c r="D186" s="38">
        <f t="shared" si="19"/>
        <v>800</v>
      </c>
      <c r="E186" s="38">
        <f t="shared" si="19"/>
        <v>800</v>
      </c>
      <c r="F186" s="38">
        <f t="shared" si="19"/>
        <v>800</v>
      </c>
      <c r="G186" s="38">
        <f t="shared" si="19"/>
        <v>800</v>
      </c>
      <c r="H186" s="38">
        <f t="shared" si="19"/>
        <v>800</v>
      </c>
      <c r="I186" s="38">
        <f t="shared" si="19"/>
        <v>800</v>
      </c>
      <c r="J186" s="38">
        <f t="shared" si="19"/>
        <v>800</v>
      </c>
      <c r="K186" s="38">
        <f t="shared" si="19"/>
        <v>800</v>
      </c>
      <c r="L186" s="38">
        <f t="shared" si="19"/>
        <v>800</v>
      </c>
      <c r="M186" s="38">
        <f t="shared" si="19"/>
        <v>800</v>
      </c>
      <c r="N186" s="38">
        <f t="shared" si="19"/>
        <v>800</v>
      </c>
      <c r="O186" s="38">
        <f t="shared" si="19"/>
        <v>800</v>
      </c>
      <c r="P186" s="38">
        <f t="shared" si="19"/>
        <v>800</v>
      </c>
      <c r="Q186" s="38">
        <f t="shared" si="19"/>
        <v>800</v>
      </c>
      <c r="R186" s="38">
        <f t="shared" si="19"/>
        <v>800</v>
      </c>
      <c r="S186" s="38">
        <f t="shared" si="19"/>
        <v>800</v>
      </c>
      <c r="T186" s="38">
        <f t="shared" si="19"/>
        <v>800</v>
      </c>
      <c r="U186" s="38">
        <f t="shared" si="19"/>
        <v>800</v>
      </c>
      <c r="V186" s="38">
        <f t="shared" si="19"/>
        <v>800</v>
      </c>
      <c r="W186" s="38">
        <f t="shared" si="19"/>
        <v>800</v>
      </c>
      <c r="X186" s="38">
        <f t="shared" si="19"/>
        <v>800</v>
      </c>
      <c r="Y186" s="38">
        <f t="shared" si="19"/>
        <v>800</v>
      </c>
      <c r="Z186" s="309">
        <f t="shared" si="19"/>
        <v>800</v>
      </c>
      <c r="AA186">
        <f t="shared" si="19"/>
        <v>800</v>
      </c>
      <c r="AB186">
        <f t="shared" si="19"/>
        <v>800</v>
      </c>
      <c r="AC186">
        <f t="shared" si="19"/>
        <v>800</v>
      </c>
      <c r="AD186">
        <f t="shared" si="19"/>
        <v>800</v>
      </c>
      <c r="AE186">
        <f t="shared" si="19"/>
        <v>800</v>
      </c>
      <c r="AF186">
        <f t="shared" si="19"/>
        <v>800</v>
      </c>
      <c r="AG186">
        <f t="shared" si="19"/>
        <v>800</v>
      </c>
      <c r="AH186">
        <f t="shared" si="19"/>
        <v>800</v>
      </c>
      <c r="AI186">
        <f t="shared" si="19"/>
        <v>800</v>
      </c>
      <c r="AJ186">
        <f t="shared" si="19"/>
        <v>800</v>
      </c>
      <c r="AK186">
        <f t="shared" si="19"/>
        <v>800</v>
      </c>
      <c r="AL186">
        <f t="shared" si="19"/>
        <v>800</v>
      </c>
      <c r="AM186">
        <f t="shared" si="19"/>
        <v>800</v>
      </c>
      <c r="AN186">
        <f t="shared" si="19"/>
        <v>800</v>
      </c>
      <c r="AO186">
        <f t="shared" si="19"/>
        <v>800</v>
      </c>
      <c r="AP186">
        <f t="shared" si="19"/>
        <v>800</v>
      </c>
      <c r="AQ186">
        <f t="shared" si="19"/>
        <v>800</v>
      </c>
      <c r="AR186">
        <f t="shared" si="19"/>
        <v>800</v>
      </c>
      <c r="AS186">
        <f t="shared" si="19"/>
        <v>800</v>
      </c>
      <c r="AT186">
        <f t="shared" si="19"/>
        <v>800</v>
      </c>
      <c r="AU186">
        <f t="shared" si="19"/>
        <v>800</v>
      </c>
      <c r="AV186">
        <f t="shared" si="19"/>
        <v>800</v>
      </c>
      <c r="AW186">
        <f t="shared" si="19"/>
        <v>800</v>
      </c>
      <c r="AX186">
        <f t="shared" si="19"/>
        <v>800</v>
      </c>
      <c r="AY186">
        <f t="shared" si="19"/>
        <v>800</v>
      </c>
      <c r="AZ186">
        <f t="shared" si="19"/>
        <v>800</v>
      </c>
      <c r="BA186">
        <f t="shared" si="19"/>
        <v>800</v>
      </c>
      <c r="BB186">
        <f t="shared" si="19"/>
        <v>800</v>
      </c>
      <c r="BC186">
        <f t="shared" si="19"/>
        <v>800</v>
      </c>
      <c r="BD186">
        <f t="shared" si="19"/>
        <v>800</v>
      </c>
      <c r="BE186">
        <f t="shared" si="19"/>
        <v>800</v>
      </c>
      <c r="BF186">
        <f t="shared" si="19"/>
        <v>800</v>
      </c>
    </row>
    <row r="187" spans="1:58">
      <c r="A187" s="1002">
        <v>1</v>
      </c>
      <c r="B187" s="1004" t="s">
        <v>3081</v>
      </c>
      <c r="C187" s="1005">
        <v>7000</v>
      </c>
      <c r="D187" s="38">
        <f t="shared" si="19"/>
        <v>7000</v>
      </c>
      <c r="E187" s="38">
        <f t="shared" si="19"/>
        <v>7000</v>
      </c>
      <c r="F187" s="38">
        <f t="shared" si="19"/>
        <v>7000</v>
      </c>
      <c r="G187" s="38">
        <f t="shared" si="19"/>
        <v>7000</v>
      </c>
      <c r="H187" s="38">
        <f t="shared" si="19"/>
        <v>7000</v>
      </c>
      <c r="I187" s="38">
        <f t="shared" si="19"/>
        <v>7000</v>
      </c>
      <c r="J187" s="38">
        <f t="shared" si="19"/>
        <v>7000</v>
      </c>
      <c r="K187" s="38">
        <f t="shared" si="19"/>
        <v>7000</v>
      </c>
      <c r="L187" s="38">
        <f t="shared" si="19"/>
        <v>7000</v>
      </c>
      <c r="M187" s="38">
        <f t="shared" si="19"/>
        <v>7000</v>
      </c>
      <c r="N187" s="38">
        <f t="shared" si="19"/>
        <v>7000</v>
      </c>
      <c r="O187" s="38">
        <f t="shared" si="19"/>
        <v>7000</v>
      </c>
      <c r="P187" s="38">
        <f t="shared" si="19"/>
        <v>7000</v>
      </c>
      <c r="Q187" s="38">
        <f t="shared" si="19"/>
        <v>7000</v>
      </c>
      <c r="R187" s="38">
        <f t="shared" si="19"/>
        <v>7000</v>
      </c>
      <c r="S187" s="38">
        <f t="shared" si="19"/>
        <v>7000</v>
      </c>
      <c r="T187" s="38">
        <f t="shared" si="19"/>
        <v>7000</v>
      </c>
      <c r="U187" s="38">
        <f t="shared" si="19"/>
        <v>7000</v>
      </c>
      <c r="V187" s="38">
        <f t="shared" si="19"/>
        <v>7000</v>
      </c>
      <c r="W187" s="38">
        <f t="shared" si="19"/>
        <v>7000</v>
      </c>
      <c r="X187" s="38">
        <f t="shared" si="19"/>
        <v>7000</v>
      </c>
      <c r="Y187" s="38">
        <f t="shared" si="19"/>
        <v>7000</v>
      </c>
      <c r="Z187" s="309">
        <f t="shared" si="19"/>
        <v>7000</v>
      </c>
      <c r="AA187">
        <f t="shared" si="19"/>
        <v>7000</v>
      </c>
      <c r="AB187">
        <f t="shared" si="19"/>
        <v>7000</v>
      </c>
      <c r="AC187">
        <f t="shared" si="19"/>
        <v>7000</v>
      </c>
      <c r="AD187">
        <f t="shared" si="19"/>
        <v>7000</v>
      </c>
      <c r="AE187">
        <f t="shared" si="19"/>
        <v>7000</v>
      </c>
      <c r="AF187">
        <f t="shared" si="19"/>
        <v>7000</v>
      </c>
      <c r="AG187">
        <f t="shared" si="19"/>
        <v>7000</v>
      </c>
      <c r="AH187">
        <f t="shared" si="19"/>
        <v>7000</v>
      </c>
      <c r="AI187">
        <f t="shared" si="19"/>
        <v>7000</v>
      </c>
      <c r="AJ187">
        <f t="shared" si="19"/>
        <v>7000</v>
      </c>
      <c r="AK187">
        <f t="shared" si="19"/>
        <v>7000</v>
      </c>
      <c r="AL187">
        <f t="shared" si="19"/>
        <v>7000</v>
      </c>
      <c r="AM187">
        <f t="shared" si="19"/>
        <v>7000</v>
      </c>
      <c r="AN187">
        <f t="shared" si="19"/>
        <v>7000</v>
      </c>
      <c r="AO187">
        <f t="shared" si="19"/>
        <v>7000</v>
      </c>
      <c r="AP187">
        <f t="shared" si="19"/>
        <v>7000</v>
      </c>
      <c r="AQ187">
        <f t="shared" si="19"/>
        <v>7000</v>
      </c>
      <c r="AR187">
        <f t="shared" si="19"/>
        <v>7000</v>
      </c>
      <c r="AS187">
        <f t="shared" si="19"/>
        <v>7000</v>
      </c>
      <c r="AT187">
        <f t="shared" si="19"/>
        <v>7000</v>
      </c>
      <c r="AU187">
        <f t="shared" si="19"/>
        <v>7000</v>
      </c>
      <c r="AV187">
        <f t="shared" si="19"/>
        <v>7000</v>
      </c>
      <c r="AW187">
        <f t="shared" si="19"/>
        <v>7000</v>
      </c>
      <c r="AX187">
        <f t="shared" si="19"/>
        <v>7000</v>
      </c>
      <c r="AY187">
        <f t="shared" si="19"/>
        <v>7000</v>
      </c>
      <c r="AZ187">
        <f t="shared" si="19"/>
        <v>7000</v>
      </c>
      <c r="BA187">
        <f t="shared" si="19"/>
        <v>7000</v>
      </c>
      <c r="BB187">
        <f t="shared" si="19"/>
        <v>7000</v>
      </c>
      <c r="BC187">
        <f t="shared" si="19"/>
        <v>7000</v>
      </c>
      <c r="BD187">
        <f t="shared" si="19"/>
        <v>7000</v>
      </c>
      <c r="BE187">
        <f t="shared" si="19"/>
        <v>7000</v>
      </c>
      <c r="BF187">
        <f t="shared" si="19"/>
        <v>7000</v>
      </c>
    </row>
    <row r="188" spans="1:58">
      <c r="A188" s="1002">
        <v>1</v>
      </c>
      <c r="B188" s="1004" t="s">
        <v>3082</v>
      </c>
      <c r="C188" s="1005">
        <v>100</v>
      </c>
      <c r="D188" s="1006">
        <f>C188+C188*D182</f>
        <v>125</v>
      </c>
      <c r="E188" s="1006">
        <f>D188+C188*D182</f>
        <v>150</v>
      </c>
      <c r="F188" s="1006">
        <f>E188+C188*D182</f>
        <v>175</v>
      </c>
      <c r="G188" s="1006">
        <f>F188+C188*D182</f>
        <v>200</v>
      </c>
      <c r="H188" s="1006">
        <f>G188+C188*D182</f>
        <v>225</v>
      </c>
      <c r="I188" s="1006">
        <f>H188+C188*D182</f>
        <v>250</v>
      </c>
      <c r="J188" s="1006">
        <f>I188+C188*D182</f>
        <v>275</v>
      </c>
      <c r="K188" s="1006">
        <f>J188+C188*D182</f>
        <v>300</v>
      </c>
      <c r="L188" s="1006">
        <f>K188+C188*D182</f>
        <v>325</v>
      </c>
      <c r="M188" s="1006">
        <f>L188+C188*D182</f>
        <v>350</v>
      </c>
      <c r="N188" s="1006">
        <f>M188+C188*D182</f>
        <v>375</v>
      </c>
      <c r="O188" s="1006">
        <f>N188+C188*D182</f>
        <v>400</v>
      </c>
      <c r="P188" s="1006">
        <f>O188+C188*D182</f>
        <v>425</v>
      </c>
      <c r="Q188" s="1006">
        <f>P188+C188*D182</f>
        <v>450</v>
      </c>
      <c r="R188" s="1006">
        <f>Q188+C188*D182</f>
        <v>475</v>
      </c>
      <c r="S188" s="1006">
        <f>R188+C188*D182</f>
        <v>500</v>
      </c>
      <c r="T188" s="1006">
        <f>S188+C188*D182</f>
        <v>525</v>
      </c>
      <c r="U188" s="1006">
        <f>T188+C188*D182</f>
        <v>550</v>
      </c>
      <c r="V188" s="1006">
        <f>U188+C188*D182</f>
        <v>575</v>
      </c>
      <c r="W188" s="1006">
        <f>V188+C188*D182</f>
        <v>600</v>
      </c>
      <c r="X188" s="1006">
        <f>W188+C188*D182</f>
        <v>625</v>
      </c>
      <c r="Y188" s="1006">
        <f>X188+C188*D182</f>
        <v>650</v>
      </c>
      <c r="Z188" s="1007">
        <f>Y188+C188*D182</f>
        <v>675</v>
      </c>
      <c r="AA188" s="681">
        <f>Z188+C188*D182</f>
        <v>700</v>
      </c>
      <c r="AB188" s="681">
        <f>AA188+C188*D182</f>
        <v>725</v>
      </c>
      <c r="AC188" s="681">
        <f>AB188+C188*D182</f>
        <v>750</v>
      </c>
      <c r="AD188" s="681">
        <f>AC188+C188*D182</f>
        <v>775</v>
      </c>
      <c r="AE188" s="681">
        <f>AD188+C188*D182</f>
        <v>800</v>
      </c>
      <c r="AF188" s="681">
        <f>AE188+C188*D182</f>
        <v>825</v>
      </c>
      <c r="AG188" s="681">
        <f>AF188+C188*D182</f>
        <v>850</v>
      </c>
      <c r="AH188" s="681">
        <f>AG188+C188*D182</f>
        <v>875</v>
      </c>
      <c r="AI188" s="681">
        <f>AH188+C188*D182</f>
        <v>900</v>
      </c>
      <c r="AJ188" s="681">
        <f>AI188+C188*D182</f>
        <v>925</v>
      </c>
      <c r="AK188" s="681">
        <f>AJ188+C188*D182</f>
        <v>950</v>
      </c>
      <c r="AL188" s="681">
        <f>AK188+C188*D182</f>
        <v>975</v>
      </c>
      <c r="AM188" s="681">
        <f>AL188+C188*D182</f>
        <v>1000</v>
      </c>
      <c r="AN188" s="681">
        <f>AM188+C188*D182</f>
        <v>1025</v>
      </c>
      <c r="AO188" s="681">
        <f>AN188+C188*D182</f>
        <v>1050</v>
      </c>
      <c r="AP188" s="681">
        <f>AO188+C188*D182</f>
        <v>1075</v>
      </c>
      <c r="AQ188" s="681">
        <f>AP188+C188*D182</f>
        <v>1100</v>
      </c>
      <c r="AR188" s="681">
        <f>AQ188+C188*D182</f>
        <v>1125</v>
      </c>
      <c r="AS188" s="681">
        <f>AR188+C188*D182</f>
        <v>1150</v>
      </c>
      <c r="AT188" s="681">
        <f>AS188+C188*D182</f>
        <v>1175</v>
      </c>
      <c r="AU188" s="681">
        <f>AT188+C188*D182</f>
        <v>1200</v>
      </c>
      <c r="AV188" s="681">
        <f>AU188+C188*D182</f>
        <v>1225</v>
      </c>
      <c r="AW188" s="681">
        <f>AV188+C188*D182</f>
        <v>1250</v>
      </c>
      <c r="AX188" s="681">
        <f>AW188+C188*D182</f>
        <v>1275</v>
      </c>
      <c r="AY188" s="681">
        <f>AX188+C188*D182</f>
        <v>1300</v>
      </c>
      <c r="AZ188" s="681">
        <f>AY188+C188*D182</f>
        <v>1325</v>
      </c>
      <c r="BA188" s="681">
        <f>AZ188+C188*D182</f>
        <v>1350</v>
      </c>
      <c r="BB188" s="681">
        <f>BA188+C188*D182</f>
        <v>1375</v>
      </c>
      <c r="BC188" s="681">
        <f>BB188+C188*D182</f>
        <v>1400</v>
      </c>
      <c r="BD188" s="681">
        <f>BC188+C188*D182</f>
        <v>1425</v>
      </c>
      <c r="BE188" s="681">
        <f>BD188+C188*D182</f>
        <v>1450</v>
      </c>
      <c r="BF188" s="681">
        <f>BE188+C188*D182</f>
        <v>1475</v>
      </c>
    </row>
    <row r="189" spans="1:58">
      <c r="A189" s="1002">
        <v>1</v>
      </c>
      <c r="B189" s="1008"/>
      <c r="C189" s="1008"/>
      <c r="D189" s="38"/>
      <c r="E189" s="38"/>
      <c r="F189" s="38"/>
      <c r="G189" s="38"/>
      <c r="H189" s="38"/>
      <c r="I189" s="38"/>
      <c r="J189" s="38"/>
      <c r="K189" s="38"/>
      <c r="L189" s="38"/>
      <c r="M189" s="38"/>
      <c r="N189" s="38"/>
      <c r="O189" s="38"/>
      <c r="P189" s="38"/>
      <c r="Q189" s="38"/>
      <c r="R189" s="38"/>
      <c r="S189" s="38"/>
      <c r="T189" s="38"/>
      <c r="U189" s="38"/>
      <c r="V189" s="38"/>
      <c r="W189" s="38"/>
      <c r="X189" s="38"/>
      <c r="Y189" s="38"/>
      <c r="Z189" s="309"/>
    </row>
    <row r="190" spans="1:58">
      <c r="A190" s="1002">
        <v>1</v>
      </c>
      <c r="B190" s="1008" t="s">
        <v>2663</v>
      </c>
      <c r="C190" s="1009">
        <f t="shared" ref="C190:BF190" si="20">C187/C188</f>
        <v>70</v>
      </c>
      <c r="D190" s="1010">
        <f t="shared" si="20"/>
        <v>56</v>
      </c>
      <c r="E190" s="1010">
        <f t="shared" si="20"/>
        <v>46.666666666666664</v>
      </c>
      <c r="F190" s="1010">
        <f t="shared" si="20"/>
        <v>40</v>
      </c>
      <c r="G190" s="1010">
        <f t="shared" si="20"/>
        <v>35</v>
      </c>
      <c r="H190" s="1010">
        <f t="shared" si="20"/>
        <v>31.111111111111111</v>
      </c>
      <c r="I190" s="1010">
        <f t="shared" si="20"/>
        <v>28</v>
      </c>
      <c r="J190" s="1010">
        <f t="shared" si="20"/>
        <v>25.454545454545453</v>
      </c>
      <c r="K190" s="1010">
        <f t="shared" si="20"/>
        <v>23.333333333333332</v>
      </c>
      <c r="L190" s="1010">
        <f t="shared" si="20"/>
        <v>21.53846153846154</v>
      </c>
      <c r="M190" s="1010">
        <f t="shared" si="20"/>
        <v>20</v>
      </c>
      <c r="N190" s="1010">
        <f t="shared" si="20"/>
        <v>18.666666666666668</v>
      </c>
      <c r="O190" s="1010">
        <f t="shared" si="20"/>
        <v>17.5</v>
      </c>
      <c r="P190" s="1010">
        <f t="shared" si="20"/>
        <v>16.470588235294116</v>
      </c>
      <c r="Q190" s="1010">
        <f t="shared" si="20"/>
        <v>15.555555555555555</v>
      </c>
      <c r="R190" s="1010">
        <f t="shared" si="20"/>
        <v>14.736842105263158</v>
      </c>
      <c r="S190" s="1010">
        <f t="shared" si="20"/>
        <v>14</v>
      </c>
      <c r="T190" s="1010">
        <f t="shared" si="20"/>
        <v>13.333333333333334</v>
      </c>
      <c r="U190" s="1010">
        <f t="shared" si="20"/>
        <v>12.727272727272727</v>
      </c>
      <c r="V190" s="1010">
        <f t="shared" si="20"/>
        <v>12.173913043478262</v>
      </c>
      <c r="W190" s="1010">
        <f t="shared" si="20"/>
        <v>11.666666666666666</v>
      </c>
      <c r="X190" s="1010">
        <f t="shared" si="20"/>
        <v>11.2</v>
      </c>
      <c r="Y190" s="1010">
        <f t="shared" si="20"/>
        <v>10.76923076923077</v>
      </c>
      <c r="Z190" s="1011">
        <f t="shared" si="20"/>
        <v>10.37037037037037</v>
      </c>
      <c r="AA190" s="1034">
        <f t="shared" si="20"/>
        <v>10</v>
      </c>
      <c r="AB190" s="1034">
        <f t="shared" si="20"/>
        <v>9.6551724137931032</v>
      </c>
      <c r="AC190" s="1034">
        <f t="shared" si="20"/>
        <v>9.3333333333333339</v>
      </c>
      <c r="AD190" s="1034">
        <f t="shared" si="20"/>
        <v>9.0322580645161299</v>
      </c>
      <c r="AE190" s="1034">
        <f t="shared" si="20"/>
        <v>8.75</v>
      </c>
      <c r="AF190" s="1034">
        <f t="shared" si="20"/>
        <v>8.4848484848484844</v>
      </c>
      <c r="AG190" s="1034">
        <f t="shared" si="20"/>
        <v>8.235294117647058</v>
      </c>
      <c r="AH190" s="1034">
        <f t="shared" si="20"/>
        <v>8</v>
      </c>
      <c r="AI190" s="1034">
        <f t="shared" si="20"/>
        <v>7.7777777777777777</v>
      </c>
      <c r="AJ190" s="1034">
        <f t="shared" si="20"/>
        <v>7.5675675675675675</v>
      </c>
      <c r="AK190" s="1034">
        <f t="shared" si="20"/>
        <v>7.3684210526315788</v>
      </c>
      <c r="AL190" s="1034">
        <f t="shared" si="20"/>
        <v>7.1794871794871797</v>
      </c>
      <c r="AM190" s="1034">
        <f t="shared" si="20"/>
        <v>7</v>
      </c>
      <c r="AN190" s="1034">
        <f t="shared" si="20"/>
        <v>6.8292682926829267</v>
      </c>
      <c r="AO190" s="1034">
        <f t="shared" si="20"/>
        <v>6.666666666666667</v>
      </c>
      <c r="AP190" s="1034">
        <f t="shared" si="20"/>
        <v>6.5116279069767442</v>
      </c>
      <c r="AQ190" s="1034">
        <f t="shared" si="20"/>
        <v>6.3636363636363633</v>
      </c>
      <c r="AR190" s="1034">
        <f t="shared" si="20"/>
        <v>6.2222222222222223</v>
      </c>
      <c r="AS190" s="1034">
        <f t="shared" si="20"/>
        <v>6.0869565217391308</v>
      </c>
      <c r="AT190" s="1034">
        <f t="shared" si="20"/>
        <v>5.957446808510638</v>
      </c>
      <c r="AU190" s="1034">
        <f t="shared" si="20"/>
        <v>5.833333333333333</v>
      </c>
      <c r="AV190" s="1034">
        <f t="shared" si="20"/>
        <v>5.7142857142857144</v>
      </c>
      <c r="AW190" s="1034">
        <f t="shared" si="20"/>
        <v>5.6</v>
      </c>
      <c r="AX190" s="1034">
        <f t="shared" si="20"/>
        <v>5.4901960784313726</v>
      </c>
      <c r="AY190" s="1034">
        <f t="shared" si="20"/>
        <v>5.384615384615385</v>
      </c>
      <c r="AZ190" s="1034">
        <f t="shared" si="20"/>
        <v>5.283018867924528</v>
      </c>
      <c r="BA190" s="1034">
        <f t="shared" si="20"/>
        <v>5.1851851851851851</v>
      </c>
      <c r="BB190" s="1034">
        <f t="shared" si="20"/>
        <v>5.0909090909090908</v>
      </c>
      <c r="BC190" s="1034">
        <f t="shared" si="20"/>
        <v>5</v>
      </c>
      <c r="BD190" s="1034">
        <f t="shared" si="20"/>
        <v>4.9122807017543861</v>
      </c>
      <c r="BE190" s="1034">
        <f t="shared" si="20"/>
        <v>4.8275862068965516</v>
      </c>
      <c r="BF190" s="1034">
        <f t="shared" si="20"/>
        <v>4.7457627118644066</v>
      </c>
    </row>
    <row r="191" spans="1:58">
      <c r="A191" s="1002">
        <v>1</v>
      </c>
      <c r="B191" s="1008" t="s">
        <v>3083</v>
      </c>
      <c r="C191" s="1012">
        <f t="shared" ref="C191:BF191" si="21">C190-1</f>
        <v>69</v>
      </c>
      <c r="D191" s="442">
        <f t="shared" si="21"/>
        <v>55</v>
      </c>
      <c r="E191" s="442">
        <f t="shared" si="21"/>
        <v>45.666666666666664</v>
      </c>
      <c r="F191" s="442">
        <f t="shared" si="21"/>
        <v>39</v>
      </c>
      <c r="G191" s="442">
        <f t="shared" si="21"/>
        <v>34</v>
      </c>
      <c r="H191" s="442">
        <f t="shared" si="21"/>
        <v>30.111111111111111</v>
      </c>
      <c r="I191" s="442">
        <f t="shared" si="21"/>
        <v>27</v>
      </c>
      <c r="J191" s="442">
        <f t="shared" si="21"/>
        <v>24.454545454545453</v>
      </c>
      <c r="K191" s="442">
        <f t="shared" si="21"/>
        <v>22.333333333333332</v>
      </c>
      <c r="L191" s="442">
        <f t="shared" si="21"/>
        <v>20.53846153846154</v>
      </c>
      <c r="M191" s="442">
        <f t="shared" si="21"/>
        <v>19</v>
      </c>
      <c r="N191" s="442">
        <f t="shared" si="21"/>
        <v>17.666666666666668</v>
      </c>
      <c r="O191" s="442">
        <f t="shared" si="21"/>
        <v>16.5</v>
      </c>
      <c r="P191" s="442">
        <f t="shared" si="21"/>
        <v>15.470588235294116</v>
      </c>
      <c r="Q191" s="442">
        <f t="shared" si="21"/>
        <v>14.555555555555555</v>
      </c>
      <c r="R191" s="442">
        <f t="shared" si="21"/>
        <v>13.736842105263158</v>
      </c>
      <c r="S191" s="442">
        <f t="shared" si="21"/>
        <v>13</v>
      </c>
      <c r="T191" s="442">
        <f t="shared" si="21"/>
        <v>12.333333333333334</v>
      </c>
      <c r="U191" s="442">
        <f t="shared" si="21"/>
        <v>11.727272727272727</v>
      </c>
      <c r="V191" s="442">
        <f t="shared" si="21"/>
        <v>11.173913043478262</v>
      </c>
      <c r="W191" s="442">
        <f t="shared" si="21"/>
        <v>10.666666666666666</v>
      </c>
      <c r="X191" s="442">
        <f t="shared" si="21"/>
        <v>10.199999999999999</v>
      </c>
      <c r="Y191" s="442">
        <f t="shared" si="21"/>
        <v>9.7692307692307701</v>
      </c>
      <c r="Z191" s="1013">
        <f t="shared" si="21"/>
        <v>9.3703703703703702</v>
      </c>
      <c r="AA191" s="216">
        <f t="shared" si="21"/>
        <v>9</v>
      </c>
      <c r="AB191" s="216">
        <f t="shared" si="21"/>
        <v>8.6551724137931032</v>
      </c>
      <c r="AC191" s="216">
        <f t="shared" si="21"/>
        <v>8.3333333333333339</v>
      </c>
      <c r="AD191" s="216">
        <f t="shared" si="21"/>
        <v>8.0322580645161299</v>
      </c>
      <c r="AE191" s="216">
        <f t="shared" si="21"/>
        <v>7.75</v>
      </c>
      <c r="AF191" s="216">
        <f t="shared" si="21"/>
        <v>7.4848484848484844</v>
      </c>
      <c r="AG191" s="216">
        <f t="shared" si="21"/>
        <v>7.235294117647058</v>
      </c>
      <c r="AH191" s="216">
        <f t="shared" si="21"/>
        <v>7</v>
      </c>
      <c r="AI191" s="216">
        <f t="shared" si="21"/>
        <v>6.7777777777777777</v>
      </c>
      <c r="AJ191" s="216">
        <f t="shared" si="21"/>
        <v>6.5675675675675675</v>
      </c>
      <c r="AK191" s="216">
        <f t="shared" si="21"/>
        <v>6.3684210526315788</v>
      </c>
      <c r="AL191" s="216">
        <f t="shared" si="21"/>
        <v>6.1794871794871797</v>
      </c>
      <c r="AM191" s="216">
        <f t="shared" si="21"/>
        <v>6</v>
      </c>
      <c r="AN191" s="216">
        <f t="shared" si="21"/>
        <v>5.8292682926829267</v>
      </c>
      <c r="AO191" s="216">
        <f t="shared" si="21"/>
        <v>5.666666666666667</v>
      </c>
      <c r="AP191" s="216">
        <f t="shared" si="21"/>
        <v>5.5116279069767442</v>
      </c>
      <c r="AQ191" s="216">
        <f t="shared" si="21"/>
        <v>5.3636363636363633</v>
      </c>
      <c r="AR191" s="216">
        <f t="shared" si="21"/>
        <v>5.2222222222222223</v>
      </c>
      <c r="AS191" s="216">
        <f t="shared" si="21"/>
        <v>5.0869565217391308</v>
      </c>
      <c r="AT191" s="216">
        <f t="shared" si="21"/>
        <v>4.957446808510638</v>
      </c>
      <c r="AU191" s="216">
        <f t="shared" si="21"/>
        <v>4.833333333333333</v>
      </c>
      <c r="AV191" s="216">
        <f t="shared" si="21"/>
        <v>4.7142857142857144</v>
      </c>
      <c r="AW191" s="216">
        <f t="shared" si="21"/>
        <v>4.5999999999999996</v>
      </c>
      <c r="AX191" s="216">
        <f t="shared" si="21"/>
        <v>4.4901960784313726</v>
      </c>
      <c r="AY191" s="216">
        <f t="shared" si="21"/>
        <v>4.384615384615385</v>
      </c>
      <c r="AZ191" s="216">
        <f t="shared" si="21"/>
        <v>4.283018867924528</v>
      </c>
      <c r="BA191" s="216">
        <f t="shared" si="21"/>
        <v>4.1851851851851851</v>
      </c>
      <c r="BB191" s="216">
        <f t="shared" si="21"/>
        <v>4.0909090909090908</v>
      </c>
      <c r="BC191" s="216">
        <f t="shared" si="21"/>
        <v>4</v>
      </c>
      <c r="BD191" s="216">
        <f t="shared" si="21"/>
        <v>3.9122807017543861</v>
      </c>
      <c r="BE191" s="216">
        <f t="shared" si="21"/>
        <v>3.8275862068965516</v>
      </c>
      <c r="BF191" s="216">
        <f t="shared" si="21"/>
        <v>3.7457627118644066</v>
      </c>
    </row>
    <row r="192" spans="1:58">
      <c r="A192" s="1002">
        <v>1</v>
      </c>
      <c r="B192" s="1008" t="s">
        <v>3084</v>
      </c>
      <c r="C192" s="1009">
        <f t="shared" ref="C192:BF192" si="22">C188+C188/C191</f>
        <v>101.44927536231884</v>
      </c>
      <c r="D192" s="1010">
        <f t="shared" si="22"/>
        <v>127.27272727272727</v>
      </c>
      <c r="E192" s="1010">
        <f t="shared" si="22"/>
        <v>153.28467153284672</v>
      </c>
      <c r="F192" s="1010">
        <f t="shared" si="22"/>
        <v>179.48717948717947</v>
      </c>
      <c r="G192" s="1010">
        <f t="shared" si="22"/>
        <v>205.88235294117646</v>
      </c>
      <c r="H192" s="1010">
        <f t="shared" si="22"/>
        <v>232.47232472324723</v>
      </c>
      <c r="I192" s="1010">
        <f t="shared" si="22"/>
        <v>259.25925925925924</v>
      </c>
      <c r="J192" s="1010">
        <f t="shared" si="22"/>
        <v>286.24535315985128</v>
      </c>
      <c r="K192" s="1010">
        <f t="shared" si="22"/>
        <v>313.43283582089555</v>
      </c>
      <c r="L192" s="1010">
        <f t="shared" si="22"/>
        <v>340.82397003745319</v>
      </c>
      <c r="M192" s="1010">
        <f t="shared" si="22"/>
        <v>368.42105263157896</v>
      </c>
      <c r="N192" s="1010">
        <f t="shared" si="22"/>
        <v>396.22641509433964</v>
      </c>
      <c r="O192" s="1010">
        <f t="shared" si="22"/>
        <v>424.24242424242425</v>
      </c>
      <c r="P192" s="1010">
        <f t="shared" si="22"/>
        <v>452.47148288973386</v>
      </c>
      <c r="Q192" s="1010">
        <f t="shared" si="22"/>
        <v>480.91603053435114</v>
      </c>
      <c r="R192" s="1010">
        <f t="shared" si="22"/>
        <v>509.57854406130269</v>
      </c>
      <c r="S192" s="1010">
        <f t="shared" si="22"/>
        <v>538.46153846153845</v>
      </c>
      <c r="T192" s="1010">
        <f t="shared" si="22"/>
        <v>567.56756756756761</v>
      </c>
      <c r="U192" s="1010">
        <f t="shared" si="22"/>
        <v>596.89922480620157</v>
      </c>
      <c r="V192" s="1010">
        <f t="shared" si="22"/>
        <v>626.45914396887156</v>
      </c>
      <c r="W192" s="1010">
        <f t="shared" si="22"/>
        <v>656.25</v>
      </c>
      <c r="X192" s="1010">
        <f t="shared" si="22"/>
        <v>686.27450980392155</v>
      </c>
      <c r="Y192" s="1010">
        <f t="shared" si="22"/>
        <v>716.53543307086613</v>
      </c>
      <c r="Z192" s="1011">
        <f t="shared" si="22"/>
        <v>747.03557312252963</v>
      </c>
      <c r="AA192" s="1034">
        <f t="shared" si="22"/>
        <v>777.77777777777783</v>
      </c>
      <c r="AB192" s="1034">
        <f t="shared" si="22"/>
        <v>808.76494023904388</v>
      </c>
      <c r="AC192" s="1034">
        <f t="shared" si="22"/>
        <v>840</v>
      </c>
      <c r="AD192" s="1034">
        <f t="shared" si="22"/>
        <v>871.4859437751004</v>
      </c>
      <c r="AE192" s="1034">
        <f t="shared" si="22"/>
        <v>903.22580645161293</v>
      </c>
      <c r="AF192" s="1034">
        <f t="shared" si="22"/>
        <v>935.22267206477727</v>
      </c>
      <c r="AG192" s="1034">
        <f t="shared" si="22"/>
        <v>967.47967479674799</v>
      </c>
      <c r="AH192" s="1034">
        <f t="shared" si="22"/>
        <v>1000</v>
      </c>
      <c r="AI192" s="1034">
        <f t="shared" si="22"/>
        <v>1032.7868852459017</v>
      </c>
      <c r="AJ192" s="1034">
        <f t="shared" si="22"/>
        <v>1065.843621399177</v>
      </c>
      <c r="AK192" s="1034">
        <f t="shared" si="22"/>
        <v>1099.1735537190084</v>
      </c>
      <c r="AL192" s="1034">
        <f t="shared" si="22"/>
        <v>1132.7800829875519</v>
      </c>
      <c r="AM192" s="1034">
        <f t="shared" si="22"/>
        <v>1166.6666666666667</v>
      </c>
      <c r="AN192" s="1034">
        <f t="shared" si="22"/>
        <v>1200.8368200836819</v>
      </c>
      <c r="AO192" s="1034">
        <f t="shared" si="22"/>
        <v>1235.2941176470588</v>
      </c>
      <c r="AP192" s="1034">
        <f t="shared" si="22"/>
        <v>1270.042194092827</v>
      </c>
      <c r="AQ192" s="1034">
        <f t="shared" si="22"/>
        <v>1305.0847457627119</v>
      </c>
      <c r="AR192" s="1034">
        <f t="shared" si="22"/>
        <v>1340.4255319148936</v>
      </c>
      <c r="AS192" s="1034">
        <f t="shared" si="22"/>
        <v>1376.068376068376</v>
      </c>
      <c r="AT192" s="1034">
        <f t="shared" si="22"/>
        <v>1412.0171673819743</v>
      </c>
      <c r="AU192" s="1034">
        <f t="shared" si="22"/>
        <v>1448.2758620689656</v>
      </c>
      <c r="AV192" s="1034">
        <f t="shared" si="22"/>
        <v>1484.8484848484848</v>
      </c>
      <c r="AW192" s="1034">
        <f t="shared" si="22"/>
        <v>1521.7391304347825</v>
      </c>
      <c r="AX192" s="1034">
        <f t="shared" si="22"/>
        <v>1558.9519650655022</v>
      </c>
      <c r="AY192" s="1034">
        <f t="shared" si="22"/>
        <v>1596.4912280701753</v>
      </c>
      <c r="AZ192" s="1034">
        <f t="shared" si="22"/>
        <v>1634.3612334801762</v>
      </c>
      <c r="BA192" s="1034">
        <f t="shared" si="22"/>
        <v>1672.5663716814161</v>
      </c>
      <c r="BB192" s="1034">
        <f t="shared" si="22"/>
        <v>1711.1111111111111</v>
      </c>
      <c r="BC192" s="1034">
        <f t="shared" si="22"/>
        <v>1750</v>
      </c>
      <c r="BD192" s="1034">
        <f t="shared" si="22"/>
        <v>1789.2376681614351</v>
      </c>
      <c r="BE192" s="1034">
        <f t="shared" si="22"/>
        <v>1828.8288288288288</v>
      </c>
      <c r="BF192" s="1034">
        <f t="shared" si="22"/>
        <v>1868.7782805429865</v>
      </c>
    </row>
    <row r="193" spans="1:58">
      <c r="A193" s="1002">
        <v>1</v>
      </c>
      <c r="B193" s="1008" t="s">
        <v>3085</v>
      </c>
      <c r="C193" s="1009">
        <f t="shared" ref="C193:BF193" si="23">C185/C191</f>
        <v>11.594202898550725</v>
      </c>
      <c r="D193" s="1010">
        <f t="shared" si="23"/>
        <v>14.545454545454545</v>
      </c>
      <c r="E193" s="1010">
        <f t="shared" si="23"/>
        <v>17.518248175182482</v>
      </c>
      <c r="F193" s="1010">
        <f t="shared" si="23"/>
        <v>20.512820512820515</v>
      </c>
      <c r="G193" s="1010">
        <f t="shared" si="23"/>
        <v>23.529411764705884</v>
      </c>
      <c r="H193" s="1010">
        <f t="shared" si="23"/>
        <v>26.568265682656826</v>
      </c>
      <c r="I193" s="1010">
        <f t="shared" si="23"/>
        <v>29.62962962962963</v>
      </c>
      <c r="J193" s="1010">
        <f t="shared" si="23"/>
        <v>32.713754646840151</v>
      </c>
      <c r="K193" s="1010">
        <f t="shared" si="23"/>
        <v>35.820895522388064</v>
      </c>
      <c r="L193" s="1010">
        <f t="shared" si="23"/>
        <v>38.951310861423217</v>
      </c>
      <c r="M193" s="1010">
        <f t="shared" si="23"/>
        <v>42.10526315789474</v>
      </c>
      <c r="N193" s="1010">
        <f t="shared" si="23"/>
        <v>45.283018867924525</v>
      </c>
      <c r="O193" s="1010">
        <f t="shared" si="23"/>
        <v>48.484848484848484</v>
      </c>
      <c r="P193" s="1010">
        <f t="shared" si="23"/>
        <v>51.711026615969587</v>
      </c>
      <c r="Q193" s="1010">
        <f t="shared" si="23"/>
        <v>54.961832061068705</v>
      </c>
      <c r="R193" s="1010">
        <f t="shared" si="23"/>
        <v>58.237547892720308</v>
      </c>
      <c r="S193" s="1010">
        <f t="shared" si="23"/>
        <v>61.53846153846154</v>
      </c>
      <c r="T193" s="1010">
        <f t="shared" si="23"/>
        <v>64.864864864864856</v>
      </c>
      <c r="U193" s="1010">
        <f t="shared" si="23"/>
        <v>68.217054263565899</v>
      </c>
      <c r="V193" s="1010">
        <f t="shared" si="23"/>
        <v>71.595330739299612</v>
      </c>
      <c r="W193" s="1010">
        <f t="shared" si="23"/>
        <v>75</v>
      </c>
      <c r="X193" s="1010">
        <f t="shared" si="23"/>
        <v>78.431372549019613</v>
      </c>
      <c r="Y193" s="1010">
        <f t="shared" si="23"/>
        <v>81.889763779527556</v>
      </c>
      <c r="Z193" s="1011">
        <f t="shared" si="23"/>
        <v>85.37549407114625</v>
      </c>
      <c r="AA193" s="1034">
        <f t="shared" si="23"/>
        <v>88.888888888888886</v>
      </c>
      <c r="AB193" s="1034">
        <f t="shared" si="23"/>
        <v>92.430278884462155</v>
      </c>
      <c r="AC193" s="1034">
        <f t="shared" si="23"/>
        <v>96</v>
      </c>
      <c r="AD193" s="1034">
        <f t="shared" si="23"/>
        <v>99.598393574297177</v>
      </c>
      <c r="AE193" s="1034">
        <f t="shared" si="23"/>
        <v>103.2258064516129</v>
      </c>
      <c r="AF193" s="1034">
        <f t="shared" si="23"/>
        <v>106.88259109311741</v>
      </c>
      <c r="AG193" s="1034">
        <f t="shared" si="23"/>
        <v>110.56910569105692</v>
      </c>
      <c r="AH193" s="1034">
        <f t="shared" si="23"/>
        <v>114.28571428571429</v>
      </c>
      <c r="AI193" s="1034">
        <f t="shared" si="23"/>
        <v>118.0327868852459</v>
      </c>
      <c r="AJ193" s="1034">
        <f t="shared" si="23"/>
        <v>121.81069958847736</v>
      </c>
      <c r="AK193" s="1034">
        <f t="shared" si="23"/>
        <v>125.6198347107438</v>
      </c>
      <c r="AL193" s="1034">
        <f t="shared" si="23"/>
        <v>129.46058091286307</v>
      </c>
      <c r="AM193" s="1034">
        <f t="shared" si="23"/>
        <v>133.33333333333334</v>
      </c>
      <c r="AN193" s="1034">
        <f t="shared" si="23"/>
        <v>137.23849372384939</v>
      </c>
      <c r="AO193" s="1034">
        <f t="shared" si="23"/>
        <v>141.17647058823528</v>
      </c>
      <c r="AP193" s="1034">
        <f t="shared" si="23"/>
        <v>145.14767932489451</v>
      </c>
      <c r="AQ193" s="1034">
        <f t="shared" si="23"/>
        <v>149.15254237288136</v>
      </c>
      <c r="AR193" s="1034">
        <f t="shared" si="23"/>
        <v>153.19148936170211</v>
      </c>
      <c r="AS193" s="1034">
        <f t="shared" si="23"/>
        <v>157.26495726495725</v>
      </c>
      <c r="AT193" s="1034">
        <f t="shared" si="23"/>
        <v>161.37339055793993</v>
      </c>
      <c r="AU193" s="1034">
        <f t="shared" si="23"/>
        <v>165.51724137931035</v>
      </c>
      <c r="AV193" s="1034">
        <f t="shared" si="23"/>
        <v>169.69696969696969</v>
      </c>
      <c r="AW193" s="1034">
        <f t="shared" si="23"/>
        <v>173.91304347826087</v>
      </c>
      <c r="AX193" s="1034">
        <f t="shared" si="23"/>
        <v>178.16593886462883</v>
      </c>
      <c r="AY193" s="1034">
        <f t="shared" si="23"/>
        <v>182.45614035087718</v>
      </c>
      <c r="AZ193" s="1034">
        <f t="shared" si="23"/>
        <v>186.78414096916302</v>
      </c>
      <c r="BA193" s="1034">
        <f t="shared" si="23"/>
        <v>191.15044247787611</v>
      </c>
      <c r="BB193" s="1034">
        <f t="shared" si="23"/>
        <v>195.55555555555557</v>
      </c>
      <c r="BC193" s="1034">
        <f t="shared" si="23"/>
        <v>200</v>
      </c>
      <c r="BD193" s="1034">
        <f t="shared" si="23"/>
        <v>204.48430493273543</v>
      </c>
      <c r="BE193" s="1034">
        <f t="shared" si="23"/>
        <v>209.00900900900902</v>
      </c>
      <c r="BF193" s="1034">
        <f t="shared" si="23"/>
        <v>213.57466063348417</v>
      </c>
    </row>
    <row r="194" spans="1:58">
      <c r="A194" s="1002">
        <v>1</v>
      </c>
      <c r="B194" s="1008" t="s">
        <v>3086</v>
      </c>
      <c r="C194" s="1009">
        <f t="shared" ref="C194:BF194" si="24">C186/C191</f>
        <v>11.594202898550725</v>
      </c>
      <c r="D194" s="1010">
        <f t="shared" si="24"/>
        <v>14.545454545454545</v>
      </c>
      <c r="E194" s="1010">
        <f t="shared" si="24"/>
        <v>17.518248175182482</v>
      </c>
      <c r="F194" s="1010">
        <f t="shared" si="24"/>
        <v>20.512820512820515</v>
      </c>
      <c r="G194" s="1010">
        <f t="shared" si="24"/>
        <v>23.529411764705884</v>
      </c>
      <c r="H194" s="1010">
        <f t="shared" si="24"/>
        <v>26.568265682656826</v>
      </c>
      <c r="I194" s="1010">
        <f t="shared" si="24"/>
        <v>29.62962962962963</v>
      </c>
      <c r="J194" s="1010">
        <f t="shared" si="24"/>
        <v>32.713754646840151</v>
      </c>
      <c r="K194" s="1010">
        <f t="shared" si="24"/>
        <v>35.820895522388064</v>
      </c>
      <c r="L194" s="1010">
        <f t="shared" si="24"/>
        <v>38.951310861423217</v>
      </c>
      <c r="M194" s="1010">
        <f t="shared" si="24"/>
        <v>42.10526315789474</v>
      </c>
      <c r="N194" s="1010">
        <f t="shared" si="24"/>
        <v>45.283018867924525</v>
      </c>
      <c r="O194" s="1010">
        <f t="shared" si="24"/>
        <v>48.484848484848484</v>
      </c>
      <c r="P194" s="1010">
        <f t="shared" si="24"/>
        <v>51.711026615969587</v>
      </c>
      <c r="Q194" s="1010">
        <f t="shared" si="24"/>
        <v>54.961832061068705</v>
      </c>
      <c r="R194" s="1010">
        <f t="shared" si="24"/>
        <v>58.237547892720308</v>
      </c>
      <c r="S194" s="1010">
        <f t="shared" si="24"/>
        <v>61.53846153846154</v>
      </c>
      <c r="T194" s="1010">
        <f t="shared" si="24"/>
        <v>64.864864864864856</v>
      </c>
      <c r="U194" s="1010">
        <f t="shared" si="24"/>
        <v>68.217054263565899</v>
      </c>
      <c r="V194" s="1010">
        <f t="shared" si="24"/>
        <v>71.595330739299612</v>
      </c>
      <c r="W194" s="1010">
        <f t="shared" si="24"/>
        <v>75</v>
      </c>
      <c r="X194" s="1010">
        <f t="shared" si="24"/>
        <v>78.431372549019613</v>
      </c>
      <c r="Y194" s="1010">
        <f t="shared" si="24"/>
        <v>81.889763779527556</v>
      </c>
      <c r="Z194" s="1011">
        <f t="shared" si="24"/>
        <v>85.37549407114625</v>
      </c>
      <c r="AA194" s="1034">
        <f t="shared" si="24"/>
        <v>88.888888888888886</v>
      </c>
      <c r="AB194" s="1034">
        <f t="shared" si="24"/>
        <v>92.430278884462155</v>
      </c>
      <c r="AC194" s="1034">
        <f t="shared" si="24"/>
        <v>96</v>
      </c>
      <c r="AD194" s="1034">
        <f t="shared" si="24"/>
        <v>99.598393574297177</v>
      </c>
      <c r="AE194" s="1034">
        <f t="shared" si="24"/>
        <v>103.2258064516129</v>
      </c>
      <c r="AF194" s="1034">
        <f t="shared" si="24"/>
        <v>106.88259109311741</v>
      </c>
      <c r="AG194" s="1034">
        <f t="shared" si="24"/>
        <v>110.56910569105692</v>
      </c>
      <c r="AH194" s="1034">
        <f t="shared" si="24"/>
        <v>114.28571428571429</v>
      </c>
      <c r="AI194" s="1034">
        <f t="shared" si="24"/>
        <v>118.0327868852459</v>
      </c>
      <c r="AJ194" s="1034">
        <f t="shared" si="24"/>
        <v>121.81069958847736</v>
      </c>
      <c r="AK194" s="1034">
        <f t="shared" si="24"/>
        <v>125.6198347107438</v>
      </c>
      <c r="AL194" s="1034">
        <f t="shared" si="24"/>
        <v>129.46058091286307</v>
      </c>
      <c r="AM194" s="1034">
        <f t="shared" si="24"/>
        <v>133.33333333333334</v>
      </c>
      <c r="AN194" s="1034">
        <f t="shared" si="24"/>
        <v>137.23849372384939</v>
      </c>
      <c r="AO194" s="1034">
        <f t="shared" si="24"/>
        <v>141.17647058823528</v>
      </c>
      <c r="AP194" s="1034">
        <f t="shared" si="24"/>
        <v>145.14767932489451</v>
      </c>
      <c r="AQ194" s="1034">
        <f t="shared" si="24"/>
        <v>149.15254237288136</v>
      </c>
      <c r="AR194" s="1034">
        <f t="shared" si="24"/>
        <v>153.19148936170211</v>
      </c>
      <c r="AS194" s="1034">
        <f t="shared" si="24"/>
        <v>157.26495726495725</v>
      </c>
      <c r="AT194" s="1034">
        <f t="shared" si="24"/>
        <v>161.37339055793993</v>
      </c>
      <c r="AU194" s="1034">
        <f t="shared" si="24"/>
        <v>165.51724137931035</v>
      </c>
      <c r="AV194" s="1034">
        <f t="shared" si="24"/>
        <v>169.69696969696969</v>
      </c>
      <c r="AW194" s="1034">
        <f t="shared" si="24"/>
        <v>173.91304347826087</v>
      </c>
      <c r="AX194" s="1034">
        <f t="shared" si="24"/>
        <v>178.16593886462883</v>
      </c>
      <c r="AY194" s="1034">
        <f t="shared" si="24"/>
        <v>182.45614035087718</v>
      </c>
      <c r="AZ194" s="1034">
        <f t="shared" si="24"/>
        <v>186.78414096916302</v>
      </c>
      <c r="BA194" s="1034">
        <f t="shared" si="24"/>
        <v>191.15044247787611</v>
      </c>
      <c r="BB194" s="1034">
        <f t="shared" si="24"/>
        <v>195.55555555555557</v>
      </c>
      <c r="BC194" s="1034">
        <f t="shared" si="24"/>
        <v>200</v>
      </c>
      <c r="BD194" s="1034">
        <f t="shared" si="24"/>
        <v>204.48430493273543</v>
      </c>
      <c r="BE194" s="1034">
        <f t="shared" si="24"/>
        <v>209.00900900900902</v>
      </c>
      <c r="BF194" s="1034">
        <f t="shared" si="24"/>
        <v>213.57466063348417</v>
      </c>
    </row>
    <row r="195" spans="1:58">
      <c r="A195" s="1002">
        <v>1</v>
      </c>
      <c r="B195" s="1008"/>
      <c r="C195" s="1008"/>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1014"/>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row>
    <row r="196" spans="1:58">
      <c r="A196" s="1002">
        <v>1</v>
      </c>
      <c r="B196" s="1008" t="s">
        <v>3087</v>
      </c>
      <c r="C196" s="1015">
        <f t="shared" ref="C196:BF196" si="25">1/(C192/C188)^2</f>
        <v>0.97163265306122437</v>
      </c>
      <c r="D196" s="1016">
        <f t="shared" si="25"/>
        <v>0.96460459183673497</v>
      </c>
      <c r="E196" s="1016">
        <f t="shared" si="25"/>
        <v>0.95760204081632638</v>
      </c>
      <c r="F196" s="1016">
        <f t="shared" si="25"/>
        <v>0.95062500000000028</v>
      </c>
      <c r="G196" s="1016">
        <f t="shared" si="25"/>
        <v>0.94367346938775531</v>
      </c>
      <c r="H196" s="1016">
        <f t="shared" si="25"/>
        <v>0.93674744897959195</v>
      </c>
      <c r="I196" s="1016">
        <f t="shared" si="25"/>
        <v>0.92984693877551039</v>
      </c>
      <c r="J196" s="1016">
        <f t="shared" si="25"/>
        <v>0.92297193877551009</v>
      </c>
      <c r="K196" s="1016">
        <f t="shared" si="25"/>
        <v>0.91612244897959161</v>
      </c>
      <c r="L196" s="1016">
        <f t="shared" si="25"/>
        <v>0.90929846938775494</v>
      </c>
      <c r="M196" s="1016">
        <f t="shared" si="25"/>
        <v>0.90250000000000008</v>
      </c>
      <c r="N196" s="1016">
        <f t="shared" si="25"/>
        <v>0.89572704081632659</v>
      </c>
      <c r="O196" s="1016">
        <f t="shared" si="25"/>
        <v>0.88897959183673481</v>
      </c>
      <c r="P196" s="1016">
        <f t="shared" si="25"/>
        <v>0.8822576530612245</v>
      </c>
      <c r="Q196" s="1016">
        <f t="shared" si="25"/>
        <v>0.8755612244897959</v>
      </c>
      <c r="R196" s="1016">
        <f t="shared" si="25"/>
        <v>0.86889030612244911</v>
      </c>
      <c r="S196" s="1016">
        <f t="shared" si="25"/>
        <v>0.86224489795918369</v>
      </c>
      <c r="T196" s="1016">
        <f t="shared" si="25"/>
        <v>0.85562499999999997</v>
      </c>
      <c r="U196" s="1016">
        <f t="shared" si="25"/>
        <v>0.84903061224489762</v>
      </c>
      <c r="V196" s="1016">
        <f t="shared" si="25"/>
        <v>0.84246173469387775</v>
      </c>
      <c r="W196" s="1016">
        <f t="shared" si="25"/>
        <v>0.83591836734693881</v>
      </c>
      <c r="X196" s="1016">
        <f t="shared" si="25"/>
        <v>0.8294005102040819</v>
      </c>
      <c r="Y196" s="1016">
        <f t="shared" si="25"/>
        <v>0.82290816326530603</v>
      </c>
      <c r="Z196" s="1017">
        <f t="shared" si="25"/>
        <v>0.81644132653061208</v>
      </c>
      <c r="AA196" s="1035">
        <f t="shared" si="25"/>
        <v>0.80999999999999994</v>
      </c>
      <c r="AB196" s="1035">
        <f t="shared" si="25"/>
        <v>0.80358418367346918</v>
      </c>
      <c r="AC196" s="1035">
        <f t="shared" si="25"/>
        <v>0.79719387755102034</v>
      </c>
      <c r="AD196" s="1035">
        <f t="shared" si="25"/>
        <v>0.79082908163265309</v>
      </c>
      <c r="AE196" s="1035">
        <f t="shared" si="25"/>
        <v>0.78448979591836721</v>
      </c>
      <c r="AF196" s="1035">
        <f t="shared" si="25"/>
        <v>0.77817602040816325</v>
      </c>
      <c r="AG196" s="1035">
        <f t="shared" si="25"/>
        <v>0.77188775510204088</v>
      </c>
      <c r="AH196" s="1035">
        <f t="shared" si="25"/>
        <v>0.76562500000000011</v>
      </c>
      <c r="AI196" s="1035">
        <f t="shared" si="25"/>
        <v>0.75938775510204093</v>
      </c>
      <c r="AJ196" s="1035">
        <f t="shared" si="25"/>
        <v>0.75317602040816323</v>
      </c>
      <c r="AK196" s="1035">
        <f t="shared" si="25"/>
        <v>0.74698979591836723</v>
      </c>
      <c r="AL196" s="1035">
        <f t="shared" si="25"/>
        <v>0.74082908163265293</v>
      </c>
      <c r="AM196" s="1035">
        <f t="shared" si="25"/>
        <v>0.73469387755102022</v>
      </c>
      <c r="AN196" s="1035">
        <f t="shared" si="25"/>
        <v>0.72858418367346944</v>
      </c>
      <c r="AO196" s="1035">
        <f t="shared" si="25"/>
        <v>0.72249999999999992</v>
      </c>
      <c r="AP196" s="1035">
        <f t="shared" si="25"/>
        <v>0.71644132653061221</v>
      </c>
      <c r="AQ196" s="1035">
        <f t="shared" si="25"/>
        <v>0.7104081632653062</v>
      </c>
      <c r="AR196" s="1035">
        <f t="shared" si="25"/>
        <v>0.70440051020408179</v>
      </c>
      <c r="AS196" s="1035">
        <f t="shared" si="25"/>
        <v>0.69841836734693885</v>
      </c>
      <c r="AT196" s="1035">
        <f t="shared" si="25"/>
        <v>0.69246173469387751</v>
      </c>
      <c r="AU196" s="1035">
        <f t="shared" si="25"/>
        <v>0.68653061224489798</v>
      </c>
      <c r="AV196" s="1035">
        <f t="shared" si="25"/>
        <v>0.68062499999999992</v>
      </c>
      <c r="AW196" s="1035">
        <f t="shared" si="25"/>
        <v>0.6747448979591838</v>
      </c>
      <c r="AX196" s="1035">
        <f t="shared" si="25"/>
        <v>0.66889030612244904</v>
      </c>
      <c r="AY196" s="1035">
        <f t="shared" si="25"/>
        <v>0.6630612244897961</v>
      </c>
      <c r="AZ196" s="1035">
        <f t="shared" si="25"/>
        <v>0.65725765306122441</v>
      </c>
      <c r="BA196" s="1035">
        <f t="shared" si="25"/>
        <v>0.65147959183673454</v>
      </c>
      <c r="BB196" s="1035">
        <f t="shared" si="25"/>
        <v>0.64572704081632648</v>
      </c>
      <c r="BC196" s="1035">
        <f t="shared" si="25"/>
        <v>0.64</v>
      </c>
      <c r="BD196" s="1035">
        <f t="shared" si="25"/>
        <v>0.63429846938775503</v>
      </c>
      <c r="BE196" s="1035">
        <f t="shared" si="25"/>
        <v>0.62862244897959185</v>
      </c>
      <c r="BF196" s="1035">
        <f t="shared" si="25"/>
        <v>0.62297193877551005</v>
      </c>
    </row>
    <row r="197" spans="1:58">
      <c r="A197" s="1002">
        <v>1</v>
      </c>
      <c r="B197" s="1008" t="s">
        <v>3088</v>
      </c>
      <c r="C197" s="1015">
        <f t="shared" ref="C197:BF197" si="26">(C192/C188)^2</f>
        <v>1.0291955471539593</v>
      </c>
      <c r="D197" s="1016">
        <f t="shared" si="26"/>
        <v>1.0366942148760327</v>
      </c>
      <c r="E197" s="1016">
        <f t="shared" si="26"/>
        <v>1.0442751345303427</v>
      </c>
      <c r="F197" s="1016">
        <f t="shared" si="26"/>
        <v>1.0519395134779748</v>
      </c>
      <c r="G197" s="1016">
        <f t="shared" si="26"/>
        <v>1.0596885813148786</v>
      </c>
      <c r="H197" s="1016">
        <f t="shared" si="26"/>
        <v>1.0675235903650548</v>
      </c>
      <c r="I197" s="1016">
        <f t="shared" si="26"/>
        <v>1.0754458161865568</v>
      </c>
      <c r="J197" s="1016">
        <f t="shared" si="26"/>
        <v>1.0834565580906843</v>
      </c>
      <c r="K197" s="1016">
        <f t="shared" si="26"/>
        <v>1.0915571396747608</v>
      </c>
      <c r="L197" s="1016">
        <f t="shared" si="26"/>
        <v>1.099748909368907</v>
      </c>
      <c r="M197" s="1016">
        <f t="shared" si="26"/>
        <v>1.1080332409972298</v>
      </c>
      <c r="N197" s="1016">
        <f t="shared" si="26"/>
        <v>1.1164115343538625</v>
      </c>
      <c r="O197" s="1016">
        <f t="shared" si="26"/>
        <v>1.1248852157943066</v>
      </c>
      <c r="P197" s="1016">
        <f t="shared" si="26"/>
        <v>1.133455738842545</v>
      </c>
      <c r="Q197" s="1016">
        <f t="shared" si="26"/>
        <v>1.1421245848144048</v>
      </c>
      <c r="R197" s="1016">
        <f t="shared" si="26"/>
        <v>1.1508932634576707</v>
      </c>
      <c r="S197" s="1016">
        <f t="shared" si="26"/>
        <v>1.1597633136094674</v>
      </c>
      <c r="T197" s="1016">
        <f t="shared" si="26"/>
        <v>1.1687363038714391</v>
      </c>
      <c r="U197" s="1016">
        <f t="shared" si="26"/>
        <v>1.1778138333032875</v>
      </c>
      <c r="V197" s="1016">
        <f t="shared" si="26"/>
        <v>1.1869975321352326</v>
      </c>
      <c r="W197" s="1016">
        <f t="shared" si="26"/>
        <v>1.1962890625</v>
      </c>
      <c r="X197" s="1016">
        <f t="shared" si="26"/>
        <v>1.2056901191849285</v>
      </c>
      <c r="Y197" s="1016">
        <f t="shared" si="26"/>
        <v>1.215202430404861</v>
      </c>
      <c r="Z197" s="1017">
        <f t="shared" si="26"/>
        <v>1.2248277585964475</v>
      </c>
      <c r="AA197" s="1035">
        <f t="shared" si="26"/>
        <v>1.2345679012345681</v>
      </c>
      <c r="AB197" s="1035">
        <f t="shared" si="26"/>
        <v>1.2444246916715611</v>
      </c>
      <c r="AC197" s="1035">
        <f t="shared" si="26"/>
        <v>1.2544000000000002</v>
      </c>
      <c r="AD197" s="1035">
        <f t="shared" si="26"/>
        <v>1.2644957339397751</v>
      </c>
      <c r="AE197" s="1035">
        <f t="shared" si="26"/>
        <v>1.2747138397502604</v>
      </c>
      <c r="AF197" s="1035">
        <f t="shared" si="26"/>
        <v>1.285056303168385</v>
      </c>
      <c r="AG197" s="1035">
        <f t="shared" si="26"/>
        <v>1.2955251503734548</v>
      </c>
      <c r="AH197" s="1035">
        <f t="shared" si="26"/>
        <v>1.3061224489795917</v>
      </c>
      <c r="AI197" s="1035">
        <f t="shared" si="26"/>
        <v>1.316850309056705</v>
      </c>
      <c r="AJ197" s="1035">
        <f t="shared" si="26"/>
        <v>1.3277108841809346</v>
      </c>
      <c r="AK197" s="1035">
        <f t="shared" si="26"/>
        <v>1.3387063725155388</v>
      </c>
      <c r="AL197" s="1035">
        <f t="shared" si="26"/>
        <v>1.3498390179232453</v>
      </c>
      <c r="AM197" s="1035">
        <f t="shared" si="26"/>
        <v>1.3611111111111114</v>
      </c>
      <c r="AN197" s="1035">
        <f t="shared" si="26"/>
        <v>1.3725249908089843</v>
      </c>
      <c r="AO197" s="1035">
        <f t="shared" si="26"/>
        <v>1.3840830449826991</v>
      </c>
      <c r="AP197" s="1035">
        <f t="shared" si="26"/>
        <v>1.3957877120831776</v>
      </c>
      <c r="AQ197" s="1035">
        <f t="shared" si="26"/>
        <v>1.4076414823326628</v>
      </c>
      <c r="AR197" s="1035">
        <f t="shared" si="26"/>
        <v>1.4196468990493434</v>
      </c>
      <c r="AS197" s="1035">
        <f t="shared" si="26"/>
        <v>1.431806560011688</v>
      </c>
      <c r="AT197" s="1035">
        <f t="shared" si="26"/>
        <v>1.4441231188638584</v>
      </c>
      <c r="AU197" s="1035">
        <f t="shared" si="26"/>
        <v>1.4565992865636146</v>
      </c>
      <c r="AV197" s="1035">
        <f t="shared" si="26"/>
        <v>1.4692378328741966</v>
      </c>
      <c r="AW197" s="1035">
        <f t="shared" si="26"/>
        <v>1.482041587901701</v>
      </c>
      <c r="AX197" s="1035">
        <f t="shared" si="26"/>
        <v>1.4950134436795637</v>
      </c>
      <c r="AY197" s="1035">
        <f t="shared" si="26"/>
        <v>1.5081563558017848</v>
      </c>
      <c r="AZ197" s="1035">
        <f t="shared" si="26"/>
        <v>1.5214733451066391</v>
      </c>
      <c r="BA197" s="1035">
        <f t="shared" si="26"/>
        <v>1.5349674994126403</v>
      </c>
      <c r="BB197" s="1035">
        <f t="shared" si="26"/>
        <v>1.548641975308642</v>
      </c>
      <c r="BC197" s="1035">
        <f t="shared" si="26"/>
        <v>1.5625</v>
      </c>
      <c r="BD197" s="1035">
        <f t="shared" si="26"/>
        <v>1.5765448732128136</v>
      </c>
      <c r="BE197" s="1035">
        <f t="shared" si="26"/>
        <v>1.5907799691583475</v>
      </c>
      <c r="BF197" s="1035">
        <f t="shared" si="26"/>
        <v>1.605208738559817</v>
      </c>
    </row>
    <row r="198" spans="1:58">
      <c r="A198" s="1002"/>
      <c r="B198" s="300"/>
      <c r="C198" s="1016"/>
      <c r="D198" s="1016"/>
      <c r="E198" s="1016"/>
      <c r="F198" s="1016"/>
      <c r="G198" s="1016"/>
      <c r="H198" s="1016"/>
      <c r="I198" s="1016"/>
      <c r="J198" s="1016"/>
      <c r="K198" s="1016"/>
      <c r="L198" s="1016"/>
      <c r="M198" s="1016"/>
      <c r="N198" s="1016"/>
      <c r="O198" s="1016"/>
      <c r="P198" s="1016"/>
      <c r="Q198" s="1016"/>
      <c r="R198" s="1016"/>
      <c r="S198" s="1016"/>
      <c r="T198" s="1016"/>
      <c r="U198" s="1016"/>
      <c r="V198" s="1016"/>
      <c r="W198" s="1016"/>
      <c r="X198" s="1016"/>
      <c r="Y198" s="1016"/>
      <c r="Z198" s="1017"/>
      <c r="AA198" s="1035"/>
      <c r="AB198" s="1035"/>
      <c r="AC198" s="1035"/>
      <c r="AD198" s="1035"/>
      <c r="AE198" s="1035"/>
      <c r="AF198" s="1035"/>
      <c r="AG198" s="1035"/>
      <c r="AH198" s="1035"/>
      <c r="AI198" s="1035"/>
      <c r="AJ198" s="1035"/>
      <c r="AK198" s="1035"/>
      <c r="AL198" s="1035"/>
      <c r="AM198" s="1035"/>
      <c r="AN198" s="1035"/>
      <c r="AO198" s="1035"/>
      <c r="AP198" s="1035"/>
      <c r="AQ198" s="1035"/>
      <c r="AR198" s="1035"/>
      <c r="AS198" s="1035"/>
      <c r="AT198" s="1035"/>
      <c r="AU198" s="1035"/>
      <c r="AV198" s="1035"/>
      <c r="AW198" s="1035"/>
      <c r="AX198" s="1035"/>
      <c r="AY198" s="1035"/>
      <c r="AZ198" s="1035"/>
      <c r="BA198" s="1035"/>
      <c r="BB198" s="1035"/>
      <c r="BC198" s="1035"/>
      <c r="BD198" s="1035"/>
      <c r="BE198" s="1035"/>
      <c r="BF198" s="1035"/>
    </row>
    <row r="199" spans="1:58">
      <c r="A199" s="1002"/>
      <c r="B199" s="300"/>
      <c r="C199" s="1003" t="s">
        <v>3089</v>
      </c>
      <c r="D199" s="1018">
        <v>1500</v>
      </c>
      <c r="E199" s="1036"/>
      <c r="F199" s="1036"/>
      <c r="G199" s="1036"/>
      <c r="H199" s="1036"/>
      <c r="I199" s="1036"/>
      <c r="J199" s="1036"/>
      <c r="K199" s="1036"/>
      <c r="L199" s="1036"/>
      <c r="M199" s="1036"/>
      <c r="N199" s="1036"/>
      <c r="O199" s="1036"/>
      <c r="P199" s="1036"/>
      <c r="Q199" s="1036"/>
      <c r="R199" s="1036"/>
      <c r="S199" s="1036"/>
      <c r="T199" s="1036"/>
      <c r="U199" s="1036"/>
      <c r="V199" s="1036"/>
      <c r="W199" s="1036"/>
      <c r="X199" s="1036"/>
      <c r="Y199" s="1036"/>
      <c r="Z199" s="1037"/>
      <c r="AA199" s="1038"/>
      <c r="AB199" s="1038"/>
      <c r="AC199" s="1038"/>
      <c r="AD199" s="1038"/>
      <c r="AE199" s="1038"/>
      <c r="AF199" s="1038"/>
      <c r="AG199" s="1038"/>
      <c r="AH199" s="1038"/>
      <c r="AI199" s="1038"/>
      <c r="AJ199" s="1038"/>
      <c r="AK199" s="1038"/>
      <c r="AL199" s="1038"/>
      <c r="AM199" s="1038"/>
      <c r="AN199" s="1038"/>
      <c r="AO199" s="1038"/>
      <c r="AP199" s="1038"/>
      <c r="AQ199" s="1038"/>
      <c r="AR199" s="1038"/>
      <c r="AS199" s="1038"/>
      <c r="AT199" s="1038"/>
      <c r="AU199" s="1038"/>
      <c r="AV199" s="1038"/>
      <c r="AW199" s="1038"/>
      <c r="AX199" s="1038"/>
      <c r="AY199" s="1038"/>
      <c r="AZ199" s="1038"/>
      <c r="BA199" s="1038"/>
      <c r="BB199" s="1038"/>
      <c r="BC199" s="1038"/>
      <c r="BD199" s="1038"/>
      <c r="BE199" s="1038"/>
      <c r="BF199" s="1038"/>
    </row>
    <row r="200" spans="1:58">
      <c r="A200" s="1002"/>
      <c r="B200" s="1003"/>
      <c r="C200" s="1003"/>
      <c r="D200" s="38"/>
      <c r="E200" s="38"/>
      <c r="F200" s="38"/>
      <c r="G200" s="38"/>
      <c r="H200" s="38"/>
      <c r="I200" s="38"/>
      <c r="J200" s="38"/>
      <c r="K200" s="38"/>
      <c r="L200" s="38"/>
      <c r="M200" s="38"/>
      <c r="N200" s="38"/>
      <c r="O200" s="38"/>
      <c r="P200" s="38"/>
      <c r="Q200" s="38"/>
      <c r="R200" s="38"/>
      <c r="S200" s="38"/>
      <c r="T200" s="38"/>
      <c r="U200" s="38"/>
      <c r="V200" s="38"/>
      <c r="W200" s="38"/>
      <c r="X200" s="38"/>
      <c r="Y200" s="38"/>
      <c r="Z200" s="309"/>
    </row>
    <row r="201" spans="1:58">
      <c r="A201" s="1002" t="s">
        <v>3078</v>
      </c>
      <c r="B201" s="1003"/>
      <c r="C201" s="1003"/>
      <c r="D201" s="38"/>
      <c r="E201" s="38"/>
      <c r="F201" s="38"/>
      <c r="G201" s="38"/>
      <c r="H201" s="38"/>
      <c r="I201" s="38"/>
      <c r="J201" s="38"/>
      <c r="K201" s="38"/>
      <c r="L201" s="38"/>
      <c r="M201" s="38"/>
      <c r="N201" s="38"/>
      <c r="O201" s="38"/>
      <c r="P201" s="38"/>
      <c r="Q201" s="38"/>
      <c r="R201" s="38"/>
      <c r="S201" s="38"/>
      <c r="T201" s="38"/>
      <c r="U201" s="38"/>
      <c r="V201" s="38"/>
      <c r="W201" s="38"/>
      <c r="X201" s="38"/>
      <c r="Y201" s="38"/>
      <c r="Z201" s="309"/>
    </row>
    <row r="202" spans="1:58">
      <c r="A202" s="1002">
        <v>2</v>
      </c>
      <c r="B202" s="1019" t="s">
        <v>3079</v>
      </c>
      <c r="C202" s="1019">
        <f>C185</f>
        <v>800</v>
      </c>
      <c r="D202" s="215">
        <f t="shared" ref="D202:BF204" si="27">C202</f>
        <v>800</v>
      </c>
      <c r="E202" s="215">
        <f t="shared" si="27"/>
        <v>800</v>
      </c>
      <c r="F202" s="215">
        <f t="shared" si="27"/>
        <v>800</v>
      </c>
      <c r="G202" s="215">
        <f t="shared" si="27"/>
        <v>800</v>
      </c>
      <c r="H202" s="215">
        <f t="shared" si="27"/>
        <v>800</v>
      </c>
      <c r="I202" s="215">
        <f t="shared" si="27"/>
        <v>800</v>
      </c>
      <c r="J202" s="215">
        <f t="shared" si="27"/>
        <v>800</v>
      </c>
      <c r="K202" s="215">
        <f t="shared" si="27"/>
        <v>800</v>
      </c>
      <c r="L202" s="215">
        <f t="shared" si="27"/>
        <v>800</v>
      </c>
      <c r="M202" s="215">
        <f t="shared" si="27"/>
        <v>800</v>
      </c>
      <c r="N202" s="215">
        <f t="shared" si="27"/>
        <v>800</v>
      </c>
      <c r="O202" s="215">
        <f t="shared" si="27"/>
        <v>800</v>
      </c>
      <c r="P202" s="215">
        <f t="shared" si="27"/>
        <v>800</v>
      </c>
      <c r="Q202" s="215">
        <f t="shared" si="27"/>
        <v>800</v>
      </c>
      <c r="R202" s="215">
        <f t="shared" si="27"/>
        <v>800</v>
      </c>
      <c r="S202" s="215">
        <f t="shared" si="27"/>
        <v>800</v>
      </c>
      <c r="T202" s="215">
        <f t="shared" si="27"/>
        <v>800</v>
      </c>
      <c r="U202" s="215">
        <f t="shared" si="27"/>
        <v>800</v>
      </c>
      <c r="V202" s="215">
        <f t="shared" si="27"/>
        <v>800</v>
      </c>
      <c r="W202" s="215">
        <f t="shared" si="27"/>
        <v>800</v>
      </c>
      <c r="X202" s="215">
        <f t="shared" si="27"/>
        <v>800</v>
      </c>
      <c r="Y202" s="215">
        <f t="shared" si="27"/>
        <v>800</v>
      </c>
      <c r="Z202" s="1020">
        <f t="shared" si="27"/>
        <v>800</v>
      </c>
      <c r="AA202" s="316">
        <f t="shared" si="27"/>
        <v>800</v>
      </c>
      <c r="AB202" s="316">
        <f t="shared" si="27"/>
        <v>800</v>
      </c>
      <c r="AC202" s="316">
        <f t="shared" si="27"/>
        <v>800</v>
      </c>
      <c r="AD202" s="316">
        <f t="shared" si="27"/>
        <v>800</v>
      </c>
      <c r="AE202" s="316">
        <f t="shared" si="27"/>
        <v>800</v>
      </c>
      <c r="AF202" s="316">
        <f t="shared" si="27"/>
        <v>800</v>
      </c>
      <c r="AG202" s="316">
        <f t="shared" si="27"/>
        <v>800</v>
      </c>
      <c r="AH202" s="316">
        <f t="shared" si="27"/>
        <v>800</v>
      </c>
      <c r="AI202" s="316">
        <f t="shared" si="27"/>
        <v>800</v>
      </c>
      <c r="AJ202" s="316">
        <f t="shared" si="27"/>
        <v>800</v>
      </c>
      <c r="AK202" s="316">
        <f t="shared" si="27"/>
        <v>800</v>
      </c>
      <c r="AL202" s="316">
        <f t="shared" si="27"/>
        <v>800</v>
      </c>
      <c r="AM202" s="316">
        <f t="shared" si="27"/>
        <v>800</v>
      </c>
      <c r="AN202" s="316">
        <f t="shared" si="27"/>
        <v>800</v>
      </c>
      <c r="AO202" s="316">
        <f t="shared" si="27"/>
        <v>800</v>
      </c>
      <c r="AP202" s="316">
        <f t="shared" si="27"/>
        <v>800</v>
      </c>
      <c r="AQ202" s="316">
        <f t="shared" si="27"/>
        <v>800</v>
      </c>
      <c r="AR202" s="316">
        <f t="shared" si="27"/>
        <v>800</v>
      </c>
      <c r="AS202" s="316">
        <f t="shared" si="27"/>
        <v>800</v>
      </c>
      <c r="AT202" s="316">
        <f t="shared" si="27"/>
        <v>800</v>
      </c>
      <c r="AU202" s="316">
        <f t="shared" si="27"/>
        <v>800</v>
      </c>
      <c r="AV202" s="316">
        <f t="shared" si="27"/>
        <v>800</v>
      </c>
      <c r="AW202" s="316">
        <f t="shared" si="27"/>
        <v>800</v>
      </c>
      <c r="AX202" s="316">
        <f t="shared" si="27"/>
        <v>800</v>
      </c>
      <c r="AY202" s="316">
        <f t="shared" si="27"/>
        <v>800</v>
      </c>
      <c r="AZ202" s="316">
        <f t="shared" si="27"/>
        <v>800</v>
      </c>
      <c r="BA202" s="316">
        <f t="shared" si="27"/>
        <v>800</v>
      </c>
      <c r="BB202" s="316">
        <f t="shared" si="27"/>
        <v>800</v>
      </c>
      <c r="BC202" s="316">
        <f t="shared" si="27"/>
        <v>800</v>
      </c>
      <c r="BD202" s="316">
        <f t="shared" si="27"/>
        <v>800</v>
      </c>
      <c r="BE202" s="316">
        <f t="shared" si="27"/>
        <v>800</v>
      </c>
      <c r="BF202" s="316">
        <f t="shared" si="27"/>
        <v>800</v>
      </c>
    </row>
    <row r="203" spans="1:58">
      <c r="A203" s="1002">
        <v>2</v>
      </c>
      <c r="B203" s="1019" t="s">
        <v>3080</v>
      </c>
      <c r="C203" s="1019">
        <f>C186</f>
        <v>800</v>
      </c>
      <c r="D203" s="215">
        <f t="shared" si="27"/>
        <v>800</v>
      </c>
      <c r="E203" s="215">
        <f t="shared" si="27"/>
        <v>800</v>
      </c>
      <c r="F203" s="215">
        <f t="shared" si="27"/>
        <v>800</v>
      </c>
      <c r="G203" s="215">
        <f t="shared" si="27"/>
        <v>800</v>
      </c>
      <c r="H203" s="215">
        <f t="shared" si="27"/>
        <v>800</v>
      </c>
      <c r="I203" s="215">
        <f t="shared" si="27"/>
        <v>800</v>
      </c>
      <c r="J203" s="215">
        <f t="shared" si="27"/>
        <v>800</v>
      </c>
      <c r="K203" s="215">
        <f t="shared" si="27"/>
        <v>800</v>
      </c>
      <c r="L203" s="215">
        <f t="shared" si="27"/>
        <v>800</v>
      </c>
      <c r="M203" s="215">
        <f t="shared" si="27"/>
        <v>800</v>
      </c>
      <c r="N203" s="215">
        <f t="shared" si="27"/>
        <v>800</v>
      </c>
      <c r="O203" s="215">
        <f t="shared" si="27"/>
        <v>800</v>
      </c>
      <c r="P203" s="215">
        <f t="shared" si="27"/>
        <v>800</v>
      </c>
      <c r="Q203" s="215">
        <f t="shared" si="27"/>
        <v>800</v>
      </c>
      <c r="R203" s="215">
        <f t="shared" si="27"/>
        <v>800</v>
      </c>
      <c r="S203" s="215">
        <f t="shared" si="27"/>
        <v>800</v>
      </c>
      <c r="T203" s="215">
        <f t="shared" si="27"/>
        <v>800</v>
      </c>
      <c r="U203" s="215">
        <f t="shared" si="27"/>
        <v>800</v>
      </c>
      <c r="V203" s="215">
        <f t="shared" si="27"/>
        <v>800</v>
      </c>
      <c r="W203" s="215">
        <f t="shared" si="27"/>
        <v>800</v>
      </c>
      <c r="X203" s="215">
        <f t="shared" si="27"/>
        <v>800</v>
      </c>
      <c r="Y203" s="215">
        <f t="shared" si="27"/>
        <v>800</v>
      </c>
      <c r="Z203" s="1020">
        <f t="shared" si="27"/>
        <v>800</v>
      </c>
      <c r="AA203" s="316">
        <f t="shared" si="27"/>
        <v>800</v>
      </c>
      <c r="AB203" s="316">
        <f t="shared" si="27"/>
        <v>800</v>
      </c>
      <c r="AC203" s="316">
        <f t="shared" si="27"/>
        <v>800</v>
      </c>
      <c r="AD203" s="316">
        <f t="shared" si="27"/>
        <v>800</v>
      </c>
      <c r="AE203" s="316">
        <f t="shared" si="27"/>
        <v>800</v>
      </c>
      <c r="AF203" s="316">
        <f t="shared" si="27"/>
        <v>800</v>
      </c>
      <c r="AG203" s="316">
        <f t="shared" si="27"/>
        <v>800</v>
      </c>
      <c r="AH203" s="316">
        <f t="shared" si="27"/>
        <v>800</v>
      </c>
      <c r="AI203" s="316">
        <f t="shared" si="27"/>
        <v>800</v>
      </c>
      <c r="AJ203" s="316">
        <f t="shared" si="27"/>
        <v>800</v>
      </c>
      <c r="AK203" s="316">
        <f t="shared" si="27"/>
        <v>800</v>
      </c>
      <c r="AL203" s="316">
        <f t="shared" si="27"/>
        <v>800</v>
      </c>
      <c r="AM203" s="316">
        <f t="shared" si="27"/>
        <v>800</v>
      </c>
      <c r="AN203" s="316">
        <f t="shared" si="27"/>
        <v>800</v>
      </c>
      <c r="AO203" s="316">
        <f t="shared" si="27"/>
        <v>800</v>
      </c>
      <c r="AP203" s="316">
        <f t="shared" si="27"/>
        <v>800</v>
      </c>
      <c r="AQ203" s="316">
        <f t="shared" si="27"/>
        <v>800</v>
      </c>
      <c r="AR203" s="316">
        <f t="shared" si="27"/>
        <v>800</v>
      </c>
      <c r="AS203" s="316">
        <f t="shared" si="27"/>
        <v>800</v>
      </c>
      <c r="AT203" s="316">
        <f t="shared" si="27"/>
        <v>800</v>
      </c>
      <c r="AU203" s="316">
        <f t="shared" si="27"/>
        <v>800</v>
      </c>
      <c r="AV203" s="316">
        <f t="shared" si="27"/>
        <v>800</v>
      </c>
      <c r="AW203" s="316">
        <f t="shared" si="27"/>
        <v>800</v>
      </c>
      <c r="AX203" s="316">
        <f t="shared" si="27"/>
        <v>800</v>
      </c>
      <c r="AY203" s="316">
        <f t="shared" si="27"/>
        <v>800</v>
      </c>
      <c r="AZ203" s="316">
        <f t="shared" si="27"/>
        <v>800</v>
      </c>
      <c r="BA203" s="316">
        <f t="shared" si="27"/>
        <v>800</v>
      </c>
      <c r="BB203" s="316">
        <f t="shared" si="27"/>
        <v>800</v>
      </c>
      <c r="BC203" s="316">
        <f t="shared" si="27"/>
        <v>800</v>
      </c>
      <c r="BD203" s="316">
        <f t="shared" si="27"/>
        <v>800</v>
      </c>
      <c r="BE203" s="316">
        <f t="shared" si="27"/>
        <v>800</v>
      </c>
      <c r="BF203" s="316">
        <f t="shared" si="27"/>
        <v>800</v>
      </c>
    </row>
    <row r="204" spans="1:58">
      <c r="A204" s="1002">
        <v>2</v>
      </c>
      <c r="B204" s="1019" t="s">
        <v>3081</v>
      </c>
      <c r="C204" s="1021">
        <f>C187+D199</f>
        <v>8500</v>
      </c>
      <c r="D204" s="1039">
        <f t="shared" si="27"/>
        <v>8500</v>
      </c>
      <c r="E204" s="1039">
        <f t="shared" si="27"/>
        <v>8500</v>
      </c>
      <c r="F204" s="1039">
        <f t="shared" si="27"/>
        <v>8500</v>
      </c>
      <c r="G204" s="1039">
        <f t="shared" si="27"/>
        <v>8500</v>
      </c>
      <c r="H204" s="1039">
        <f t="shared" si="27"/>
        <v>8500</v>
      </c>
      <c r="I204" s="1039">
        <f t="shared" si="27"/>
        <v>8500</v>
      </c>
      <c r="J204" s="1039">
        <f t="shared" si="27"/>
        <v>8500</v>
      </c>
      <c r="K204" s="1039">
        <f t="shared" si="27"/>
        <v>8500</v>
      </c>
      <c r="L204" s="1039">
        <f t="shared" si="27"/>
        <v>8500</v>
      </c>
      <c r="M204" s="1039">
        <f t="shared" si="27"/>
        <v>8500</v>
      </c>
      <c r="N204" s="1039">
        <f t="shared" si="27"/>
        <v>8500</v>
      </c>
      <c r="O204" s="1039">
        <f t="shared" si="27"/>
        <v>8500</v>
      </c>
      <c r="P204" s="1039">
        <f t="shared" si="27"/>
        <v>8500</v>
      </c>
      <c r="Q204" s="1039">
        <f t="shared" si="27"/>
        <v>8500</v>
      </c>
      <c r="R204" s="1039">
        <f t="shared" si="27"/>
        <v>8500</v>
      </c>
      <c r="S204" s="1039">
        <f t="shared" si="27"/>
        <v>8500</v>
      </c>
      <c r="T204" s="1039">
        <f t="shared" si="27"/>
        <v>8500</v>
      </c>
      <c r="U204" s="1039">
        <f t="shared" si="27"/>
        <v>8500</v>
      </c>
      <c r="V204" s="1039">
        <f t="shared" si="27"/>
        <v>8500</v>
      </c>
      <c r="W204" s="1039">
        <f t="shared" si="27"/>
        <v>8500</v>
      </c>
      <c r="X204" s="1039">
        <f t="shared" si="27"/>
        <v>8500</v>
      </c>
      <c r="Y204" s="1039">
        <f t="shared" si="27"/>
        <v>8500</v>
      </c>
      <c r="Z204" s="1040">
        <f t="shared" si="27"/>
        <v>8500</v>
      </c>
      <c r="AA204" s="1041">
        <f t="shared" si="27"/>
        <v>8500</v>
      </c>
      <c r="AB204" s="1041">
        <f t="shared" si="27"/>
        <v>8500</v>
      </c>
      <c r="AC204" s="1041">
        <f t="shared" si="27"/>
        <v>8500</v>
      </c>
      <c r="AD204" s="1041">
        <f t="shared" si="27"/>
        <v>8500</v>
      </c>
      <c r="AE204" s="1041">
        <f t="shared" si="27"/>
        <v>8500</v>
      </c>
      <c r="AF204" s="1041">
        <f t="shared" si="27"/>
        <v>8500</v>
      </c>
      <c r="AG204" s="1041">
        <f t="shared" si="27"/>
        <v>8500</v>
      </c>
      <c r="AH204" s="1041">
        <f t="shared" si="27"/>
        <v>8500</v>
      </c>
      <c r="AI204" s="1041">
        <f t="shared" si="27"/>
        <v>8500</v>
      </c>
      <c r="AJ204" s="1041">
        <f t="shared" si="27"/>
        <v>8500</v>
      </c>
      <c r="AK204" s="1041">
        <f t="shared" si="27"/>
        <v>8500</v>
      </c>
      <c r="AL204" s="1041">
        <f t="shared" si="27"/>
        <v>8500</v>
      </c>
      <c r="AM204" s="1041">
        <f t="shared" si="27"/>
        <v>8500</v>
      </c>
      <c r="AN204" s="1041">
        <f t="shared" si="27"/>
        <v>8500</v>
      </c>
      <c r="AO204" s="1041">
        <f t="shared" si="27"/>
        <v>8500</v>
      </c>
      <c r="AP204" s="1041">
        <f t="shared" si="27"/>
        <v>8500</v>
      </c>
      <c r="AQ204" s="1041">
        <f t="shared" si="27"/>
        <v>8500</v>
      </c>
      <c r="AR204" s="1041">
        <f t="shared" si="27"/>
        <v>8500</v>
      </c>
      <c r="AS204" s="1041">
        <f t="shared" si="27"/>
        <v>8500</v>
      </c>
      <c r="AT204" s="1041">
        <f t="shared" si="27"/>
        <v>8500</v>
      </c>
      <c r="AU204" s="1041">
        <f t="shared" si="27"/>
        <v>8500</v>
      </c>
      <c r="AV204" s="1041">
        <f t="shared" si="27"/>
        <v>8500</v>
      </c>
      <c r="AW204" s="1041">
        <f t="shared" si="27"/>
        <v>8500</v>
      </c>
      <c r="AX204" s="1041">
        <f t="shared" si="27"/>
        <v>8500</v>
      </c>
      <c r="AY204" s="1041">
        <f t="shared" si="27"/>
        <v>8500</v>
      </c>
      <c r="AZ204" s="1041">
        <f t="shared" si="27"/>
        <v>8500</v>
      </c>
      <c r="BA204" s="1041">
        <f t="shared" si="27"/>
        <v>8500</v>
      </c>
      <c r="BB204" s="1041">
        <f t="shared" si="27"/>
        <v>8500</v>
      </c>
      <c r="BC204" s="1041">
        <f t="shared" si="27"/>
        <v>8500</v>
      </c>
      <c r="BD204" s="1041">
        <f t="shared" si="27"/>
        <v>8500</v>
      </c>
      <c r="BE204" s="1041">
        <f t="shared" si="27"/>
        <v>8500</v>
      </c>
      <c r="BF204" s="1041">
        <f t="shared" si="27"/>
        <v>8500</v>
      </c>
    </row>
    <row r="205" spans="1:58">
      <c r="A205" s="1002">
        <v>2</v>
      </c>
      <c r="B205" s="1019" t="s">
        <v>3082</v>
      </c>
      <c r="C205" s="1019">
        <f t="shared" ref="C205:BF205" si="28">C188</f>
        <v>100</v>
      </c>
      <c r="D205" s="1019">
        <f t="shared" si="28"/>
        <v>125</v>
      </c>
      <c r="E205" s="1019">
        <f t="shared" si="28"/>
        <v>150</v>
      </c>
      <c r="F205" s="1019">
        <f t="shared" si="28"/>
        <v>175</v>
      </c>
      <c r="G205" s="1019">
        <f t="shared" si="28"/>
        <v>200</v>
      </c>
      <c r="H205" s="1019">
        <f t="shared" si="28"/>
        <v>225</v>
      </c>
      <c r="I205" s="1019">
        <f t="shared" si="28"/>
        <v>250</v>
      </c>
      <c r="J205" s="1019">
        <f t="shared" si="28"/>
        <v>275</v>
      </c>
      <c r="K205" s="1019">
        <f t="shared" si="28"/>
        <v>300</v>
      </c>
      <c r="L205" s="1019">
        <f t="shared" si="28"/>
        <v>325</v>
      </c>
      <c r="M205" s="1019">
        <f t="shared" si="28"/>
        <v>350</v>
      </c>
      <c r="N205" s="1019">
        <f t="shared" si="28"/>
        <v>375</v>
      </c>
      <c r="O205" s="1019">
        <f t="shared" si="28"/>
        <v>400</v>
      </c>
      <c r="P205" s="1019">
        <f t="shared" si="28"/>
        <v>425</v>
      </c>
      <c r="Q205" s="1019">
        <f t="shared" si="28"/>
        <v>450</v>
      </c>
      <c r="R205" s="1019">
        <f t="shared" si="28"/>
        <v>475</v>
      </c>
      <c r="S205" s="1019">
        <f t="shared" si="28"/>
        <v>500</v>
      </c>
      <c r="T205" s="1019">
        <f t="shared" si="28"/>
        <v>525</v>
      </c>
      <c r="U205" s="1019">
        <f t="shared" si="28"/>
        <v>550</v>
      </c>
      <c r="V205" s="1019">
        <f t="shared" si="28"/>
        <v>575</v>
      </c>
      <c r="W205" s="1019">
        <f t="shared" si="28"/>
        <v>600</v>
      </c>
      <c r="X205" s="1019">
        <f t="shared" si="28"/>
        <v>625</v>
      </c>
      <c r="Y205" s="1019">
        <f t="shared" si="28"/>
        <v>650</v>
      </c>
      <c r="Z205" s="1042">
        <f t="shared" si="28"/>
        <v>675</v>
      </c>
      <c r="AA205" s="1043">
        <f t="shared" si="28"/>
        <v>700</v>
      </c>
      <c r="AB205" s="1043">
        <f t="shared" si="28"/>
        <v>725</v>
      </c>
      <c r="AC205" s="1043">
        <f t="shared" si="28"/>
        <v>750</v>
      </c>
      <c r="AD205" s="1043">
        <f t="shared" si="28"/>
        <v>775</v>
      </c>
      <c r="AE205" s="1043">
        <f t="shared" si="28"/>
        <v>800</v>
      </c>
      <c r="AF205" s="1043">
        <f t="shared" si="28"/>
        <v>825</v>
      </c>
      <c r="AG205" s="1043">
        <f t="shared" si="28"/>
        <v>850</v>
      </c>
      <c r="AH205" s="1043">
        <f t="shared" si="28"/>
        <v>875</v>
      </c>
      <c r="AI205" s="1043">
        <f t="shared" si="28"/>
        <v>900</v>
      </c>
      <c r="AJ205" s="1043">
        <f t="shared" si="28"/>
        <v>925</v>
      </c>
      <c r="AK205" s="1043">
        <f t="shared" si="28"/>
        <v>950</v>
      </c>
      <c r="AL205" s="1043">
        <f t="shared" si="28"/>
        <v>975</v>
      </c>
      <c r="AM205" s="1043">
        <f t="shared" si="28"/>
        <v>1000</v>
      </c>
      <c r="AN205" s="1043">
        <f t="shared" si="28"/>
        <v>1025</v>
      </c>
      <c r="AO205" s="1043">
        <f t="shared" si="28"/>
        <v>1050</v>
      </c>
      <c r="AP205" s="1043">
        <f t="shared" si="28"/>
        <v>1075</v>
      </c>
      <c r="AQ205" s="1043">
        <f t="shared" si="28"/>
        <v>1100</v>
      </c>
      <c r="AR205" s="1043">
        <f t="shared" si="28"/>
        <v>1125</v>
      </c>
      <c r="AS205" s="1043">
        <f t="shared" si="28"/>
        <v>1150</v>
      </c>
      <c r="AT205" s="1043">
        <f t="shared" si="28"/>
        <v>1175</v>
      </c>
      <c r="AU205" s="1043">
        <f t="shared" si="28"/>
        <v>1200</v>
      </c>
      <c r="AV205" s="1043">
        <f t="shared" si="28"/>
        <v>1225</v>
      </c>
      <c r="AW205" s="1043">
        <f t="shared" si="28"/>
        <v>1250</v>
      </c>
      <c r="AX205" s="1043">
        <f t="shared" si="28"/>
        <v>1275</v>
      </c>
      <c r="AY205" s="1043">
        <f t="shared" si="28"/>
        <v>1300</v>
      </c>
      <c r="AZ205" s="1043">
        <f t="shared" si="28"/>
        <v>1325</v>
      </c>
      <c r="BA205" s="1043">
        <f t="shared" si="28"/>
        <v>1350</v>
      </c>
      <c r="BB205" s="1043">
        <f t="shared" si="28"/>
        <v>1375</v>
      </c>
      <c r="BC205" s="1043">
        <f t="shared" si="28"/>
        <v>1400</v>
      </c>
      <c r="BD205" s="1043">
        <f t="shared" si="28"/>
        <v>1425</v>
      </c>
      <c r="BE205" s="1043">
        <f t="shared" si="28"/>
        <v>1450</v>
      </c>
      <c r="BF205" s="1043">
        <f t="shared" si="28"/>
        <v>1475</v>
      </c>
    </row>
    <row r="206" spans="1:58">
      <c r="A206" s="1002">
        <v>2</v>
      </c>
      <c r="B206" s="231"/>
      <c r="C206" s="231"/>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1014"/>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row>
    <row r="207" spans="1:58">
      <c r="A207" s="1002">
        <v>2</v>
      </c>
      <c r="B207" s="231" t="s">
        <v>2663</v>
      </c>
      <c r="C207" s="1023">
        <f t="shared" ref="C207:BF207" si="29">C204/C205</f>
        <v>85</v>
      </c>
      <c r="D207" s="1010">
        <f t="shared" si="29"/>
        <v>68</v>
      </c>
      <c r="E207" s="1010">
        <f t="shared" si="29"/>
        <v>56.666666666666664</v>
      </c>
      <c r="F207" s="1010">
        <f t="shared" si="29"/>
        <v>48.571428571428569</v>
      </c>
      <c r="G207" s="1010">
        <f t="shared" si="29"/>
        <v>42.5</v>
      </c>
      <c r="H207" s="1010">
        <f t="shared" si="29"/>
        <v>37.777777777777779</v>
      </c>
      <c r="I207" s="1010">
        <f t="shared" si="29"/>
        <v>34</v>
      </c>
      <c r="J207" s="1010">
        <f t="shared" si="29"/>
        <v>30.90909090909091</v>
      </c>
      <c r="K207" s="1010">
        <f t="shared" si="29"/>
        <v>28.333333333333332</v>
      </c>
      <c r="L207" s="1010">
        <f t="shared" si="29"/>
        <v>26.153846153846153</v>
      </c>
      <c r="M207" s="1010">
        <f t="shared" si="29"/>
        <v>24.285714285714285</v>
      </c>
      <c r="N207" s="1010">
        <f t="shared" si="29"/>
        <v>22.666666666666668</v>
      </c>
      <c r="O207" s="1010">
        <f t="shared" si="29"/>
        <v>21.25</v>
      </c>
      <c r="P207" s="1010">
        <f t="shared" si="29"/>
        <v>20</v>
      </c>
      <c r="Q207" s="1010">
        <f t="shared" si="29"/>
        <v>18.888888888888889</v>
      </c>
      <c r="R207" s="1010">
        <f t="shared" si="29"/>
        <v>17.894736842105264</v>
      </c>
      <c r="S207" s="1010">
        <f t="shared" si="29"/>
        <v>17</v>
      </c>
      <c r="T207" s="1010">
        <f t="shared" si="29"/>
        <v>16.19047619047619</v>
      </c>
      <c r="U207" s="1010">
        <f t="shared" si="29"/>
        <v>15.454545454545455</v>
      </c>
      <c r="V207" s="1010">
        <f t="shared" si="29"/>
        <v>14.782608695652174</v>
      </c>
      <c r="W207" s="1010">
        <f t="shared" si="29"/>
        <v>14.166666666666666</v>
      </c>
      <c r="X207" s="1010">
        <f t="shared" si="29"/>
        <v>13.6</v>
      </c>
      <c r="Y207" s="1010">
        <f t="shared" si="29"/>
        <v>13.076923076923077</v>
      </c>
      <c r="Z207" s="1011">
        <f t="shared" si="29"/>
        <v>12.592592592592593</v>
      </c>
      <c r="AA207" s="1034">
        <f t="shared" si="29"/>
        <v>12.142857142857142</v>
      </c>
      <c r="AB207" s="1034">
        <f t="shared" si="29"/>
        <v>11.724137931034482</v>
      </c>
      <c r="AC207" s="1034">
        <f t="shared" si="29"/>
        <v>11.333333333333334</v>
      </c>
      <c r="AD207" s="1034">
        <f t="shared" si="29"/>
        <v>10.96774193548387</v>
      </c>
      <c r="AE207" s="1034">
        <f t="shared" si="29"/>
        <v>10.625</v>
      </c>
      <c r="AF207" s="1034">
        <f t="shared" si="29"/>
        <v>10.303030303030303</v>
      </c>
      <c r="AG207" s="1034">
        <f t="shared" si="29"/>
        <v>10</v>
      </c>
      <c r="AH207" s="1034">
        <f t="shared" si="29"/>
        <v>9.7142857142857135</v>
      </c>
      <c r="AI207" s="1034">
        <f t="shared" si="29"/>
        <v>9.4444444444444446</v>
      </c>
      <c r="AJ207" s="1034">
        <f t="shared" si="29"/>
        <v>9.1891891891891895</v>
      </c>
      <c r="AK207" s="1034">
        <f t="shared" si="29"/>
        <v>8.9473684210526319</v>
      </c>
      <c r="AL207" s="1034">
        <f t="shared" si="29"/>
        <v>8.7179487179487172</v>
      </c>
      <c r="AM207" s="1034">
        <f t="shared" si="29"/>
        <v>8.5</v>
      </c>
      <c r="AN207" s="1034">
        <f t="shared" si="29"/>
        <v>8.2926829268292686</v>
      </c>
      <c r="AO207" s="1034">
        <f t="shared" si="29"/>
        <v>8.0952380952380949</v>
      </c>
      <c r="AP207" s="1034">
        <f t="shared" si="29"/>
        <v>7.9069767441860463</v>
      </c>
      <c r="AQ207" s="1034">
        <f t="shared" si="29"/>
        <v>7.7272727272727275</v>
      </c>
      <c r="AR207" s="1034">
        <f t="shared" si="29"/>
        <v>7.5555555555555554</v>
      </c>
      <c r="AS207" s="1034">
        <f t="shared" si="29"/>
        <v>7.3913043478260869</v>
      </c>
      <c r="AT207" s="1034">
        <f t="shared" si="29"/>
        <v>7.2340425531914896</v>
      </c>
      <c r="AU207" s="1034">
        <f t="shared" si="29"/>
        <v>7.083333333333333</v>
      </c>
      <c r="AV207" s="1034">
        <f t="shared" si="29"/>
        <v>6.9387755102040813</v>
      </c>
      <c r="AW207" s="1034">
        <f t="shared" si="29"/>
        <v>6.8</v>
      </c>
      <c r="AX207" s="1034">
        <f t="shared" si="29"/>
        <v>6.666666666666667</v>
      </c>
      <c r="AY207" s="1034">
        <f t="shared" si="29"/>
        <v>6.5384615384615383</v>
      </c>
      <c r="AZ207" s="1034">
        <f t="shared" si="29"/>
        <v>6.4150943396226419</v>
      </c>
      <c r="BA207" s="1034">
        <f t="shared" si="29"/>
        <v>6.2962962962962967</v>
      </c>
      <c r="BB207" s="1034">
        <f t="shared" si="29"/>
        <v>6.1818181818181817</v>
      </c>
      <c r="BC207" s="1034">
        <f t="shared" si="29"/>
        <v>6.0714285714285712</v>
      </c>
      <c r="BD207" s="1034">
        <f t="shared" si="29"/>
        <v>5.9649122807017543</v>
      </c>
      <c r="BE207" s="1034">
        <f t="shared" si="29"/>
        <v>5.8620689655172411</v>
      </c>
      <c r="BF207" s="1034">
        <f t="shared" si="29"/>
        <v>5.7627118644067794</v>
      </c>
    </row>
    <row r="208" spans="1:58">
      <c r="A208" s="1002">
        <v>2</v>
      </c>
      <c r="B208" s="231" t="s">
        <v>3083</v>
      </c>
      <c r="C208" s="1024">
        <f t="shared" ref="C208:BF208" si="30">C207-1</f>
        <v>84</v>
      </c>
      <c r="D208" s="442">
        <f t="shared" si="30"/>
        <v>67</v>
      </c>
      <c r="E208" s="442">
        <f t="shared" si="30"/>
        <v>55.666666666666664</v>
      </c>
      <c r="F208" s="442">
        <f t="shared" si="30"/>
        <v>47.571428571428569</v>
      </c>
      <c r="G208" s="442">
        <f t="shared" si="30"/>
        <v>41.5</v>
      </c>
      <c r="H208" s="442">
        <f t="shared" si="30"/>
        <v>36.777777777777779</v>
      </c>
      <c r="I208" s="442">
        <f t="shared" si="30"/>
        <v>33</v>
      </c>
      <c r="J208" s="442">
        <f t="shared" si="30"/>
        <v>29.90909090909091</v>
      </c>
      <c r="K208" s="442">
        <f t="shared" si="30"/>
        <v>27.333333333333332</v>
      </c>
      <c r="L208" s="442">
        <f t="shared" si="30"/>
        <v>25.153846153846153</v>
      </c>
      <c r="M208" s="442">
        <f t="shared" si="30"/>
        <v>23.285714285714285</v>
      </c>
      <c r="N208" s="442">
        <f t="shared" si="30"/>
        <v>21.666666666666668</v>
      </c>
      <c r="O208" s="442">
        <f t="shared" si="30"/>
        <v>20.25</v>
      </c>
      <c r="P208" s="442">
        <f t="shared" si="30"/>
        <v>19</v>
      </c>
      <c r="Q208" s="442">
        <f t="shared" si="30"/>
        <v>17.888888888888889</v>
      </c>
      <c r="R208" s="442">
        <f t="shared" si="30"/>
        <v>16.894736842105264</v>
      </c>
      <c r="S208" s="442">
        <f t="shared" si="30"/>
        <v>16</v>
      </c>
      <c r="T208" s="442">
        <f t="shared" si="30"/>
        <v>15.19047619047619</v>
      </c>
      <c r="U208" s="442">
        <f t="shared" si="30"/>
        <v>14.454545454545455</v>
      </c>
      <c r="V208" s="442">
        <f t="shared" si="30"/>
        <v>13.782608695652174</v>
      </c>
      <c r="W208" s="442">
        <f t="shared" si="30"/>
        <v>13.166666666666666</v>
      </c>
      <c r="X208" s="442">
        <f t="shared" si="30"/>
        <v>12.6</v>
      </c>
      <c r="Y208" s="442">
        <f t="shared" si="30"/>
        <v>12.076923076923077</v>
      </c>
      <c r="Z208" s="1013">
        <f t="shared" si="30"/>
        <v>11.592592592592593</v>
      </c>
      <c r="AA208" s="216">
        <f t="shared" si="30"/>
        <v>11.142857142857142</v>
      </c>
      <c r="AB208" s="216">
        <f t="shared" si="30"/>
        <v>10.724137931034482</v>
      </c>
      <c r="AC208" s="216">
        <f t="shared" si="30"/>
        <v>10.333333333333334</v>
      </c>
      <c r="AD208" s="216">
        <f t="shared" si="30"/>
        <v>9.9677419354838701</v>
      </c>
      <c r="AE208" s="216">
        <f t="shared" si="30"/>
        <v>9.625</v>
      </c>
      <c r="AF208" s="216">
        <f t="shared" si="30"/>
        <v>9.3030303030303028</v>
      </c>
      <c r="AG208" s="216">
        <f t="shared" si="30"/>
        <v>9</v>
      </c>
      <c r="AH208" s="216">
        <f t="shared" si="30"/>
        <v>8.7142857142857135</v>
      </c>
      <c r="AI208" s="216">
        <f t="shared" si="30"/>
        <v>8.4444444444444446</v>
      </c>
      <c r="AJ208" s="216">
        <f t="shared" si="30"/>
        <v>8.1891891891891895</v>
      </c>
      <c r="AK208" s="216">
        <f t="shared" si="30"/>
        <v>7.9473684210526319</v>
      </c>
      <c r="AL208" s="216">
        <f t="shared" si="30"/>
        <v>7.7179487179487172</v>
      </c>
      <c r="AM208" s="216">
        <f t="shared" si="30"/>
        <v>7.5</v>
      </c>
      <c r="AN208" s="216">
        <f t="shared" si="30"/>
        <v>7.2926829268292686</v>
      </c>
      <c r="AO208" s="216">
        <f t="shared" si="30"/>
        <v>7.0952380952380949</v>
      </c>
      <c r="AP208" s="216">
        <f t="shared" si="30"/>
        <v>6.9069767441860463</v>
      </c>
      <c r="AQ208" s="216">
        <f t="shared" si="30"/>
        <v>6.7272727272727275</v>
      </c>
      <c r="AR208" s="216">
        <f t="shared" si="30"/>
        <v>6.5555555555555554</v>
      </c>
      <c r="AS208" s="216">
        <f t="shared" si="30"/>
        <v>6.3913043478260869</v>
      </c>
      <c r="AT208" s="216">
        <f t="shared" si="30"/>
        <v>6.2340425531914896</v>
      </c>
      <c r="AU208" s="216">
        <f t="shared" si="30"/>
        <v>6.083333333333333</v>
      </c>
      <c r="AV208" s="216">
        <f t="shared" si="30"/>
        <v>5.9387755102040813</v>
      </c>
      <c r="AW208" s="216">
        <f t="shared" si="30"/>
        <v>5.8</v>
      </c>
      <c r="AX208" s="216">
        <f t="shared" si="30"/>
        <v>5.666666666666667</v>
      </c>
      <c r="AY208" s="216">
        <f t="shared" si="30"/>
        <v>5.5384615384615383</v>
      </c>
      <c r="AZ208" s="216">
        <f t="shared" si="30"/>
        <v>5.4150943396226419</v>
      </c>
      <c r="BA208" s="216">
        <f t="shared" si="30"/>
        <v>5.2962962962962967</v>
      </c>
      <c r="BB208" s="216">
        <f t="shared" si="30"/>
        <v>5.1818181818181817</v>
      </c>
      <c r="BC208" s="216">
        <f t="shared" si="30"/>
        <v>5.0714285714285712</v>
      </c>
      <c r="BD208" s="216">
        <f t="shared" si="30"/>
        <v>4.9649122807017543</v>
      </c>
      <c r="BE208" s="216">
        <f t="shared" si="30"/>
        <v>4.8620689655172411</v>
      </c>
      <c r="BF208" s="216">
        <f t="shared" si="30"/>
        <v>4.7627118644067794</v>
      </c>
    </row>
    <row r="209" spans="1:58">
      <c r="A209" s="1002">
        <v>2</v>
      </c>
      <c r="B209" s="231" t="s">
        <v>3084</v>
      </c>
      <c r="C209" s="1023">
        <f t="shared" ref="C209:BF209" si="31">C205+C205/C208</f>
        <v>101.19047619047619</v>
      </c>
      <c r="D209" s="1010">
        <f t="shared" si="31"/>
        <v>126.86567164179104</v>
      </c>
      <c r="E209" s="1010">
        <f t="shared" si="31"/>
        <v>152.69461077844312</v>
      </c>
      <c r="F209" s="1010">
        <f t="shared" si="31"/>
        <v>178.67867867867866</v>
      </c>
      <c r="G209" s="1010">
        <f t="shared" si="31"/>
        <v>204.81927710843374</v>
      </c>
      <c r="H209" s="1010">
        <f t="shared" si="31"/>
        <v>231.1178247734139</v>
      </c>
      <c r="I209" s="1010">
        <f t="shared" si="31"/>
        <v>257.57575757575756</v>
      </c>
      <c r="J209" s="1010">
        <f t="shared" si="31"/>
        <v>284.19452887537994</v>
      </c>
      <c r="K209" s="1010">
        <f t="shared" si="31"/>
        <v>310.97560975609758</v>
      </c>
      <c r="L209" s="1010">
        <f t="shared" si="31"/>
        <v>337.92048929663611</v>
      </c>
      <c r="M209" s="1010">
        <f t="shared" si="31"/>
        <v>365.03067484662574</v>
      </c>
      <c r="N209" s="1010">
        <f t="shared" si="31"/>
        <v>392.30769230769232</v>
      </c>
      <c r="O209" s="1010">
        <f t="shared" si="31"/>
        <v>419.75308641975306</v>
      </c>
      <c r="P209" s="1010">
        <f t="shared" si="31"/>
        <v>447.36842105263156</v>
      </c>
      <c r="Q209" s="1010">
        <f t="shared" si="31"/>
        <v>475.15527950310559</v>
      </c>
      <c r="R209" s="1010">
        <f t="shared" si="31"/>
        <v>503.11526479750779</v>
      </c>
      <c r="S209" s="1010">
        <f t="shared" si="31"/>
        <v>531.25</v>
      </c>
      <c r="T209" s="1010">
        <f t="shared" si="31"/>
        <v>559.5611285266458</v>
      </c>
      <c r="U209" s="1010">
        <f t="shared" si="31"/>
        <v>588.05031446540875</v>
      </c>
      <c r="V209" s="1010">
        <f t="shared" si="31"/>
        <v>616.71924290220818</v>
      </c>
      <c r="W209" s="1010">
        <f t="shared" si="31"/>
        <v>645.56962025316454</v>
      </c>
      <c r="X209" s="1010">
        <f t="shared" si="31"/>
        <v>674.60317460317458</v>
      </c>
      <c r="Y209" s="1010">
        <f t="shared" si="31"/>
        <v>703.82165605095543</v>
      </c>
      <c r="Z209" s="1011">
        <f t="shared" si="31"/>
        <v>733.22683706070291</v>
      </c>
      <c r="AA209" s="1034">
        <f t="shared" si="31"/>
        <v>762.82051282051282</v>
      </c>
      <c r="AB209" s="1034">
        <f t="shared" si="31"/>
        <v>792.604501607717</v>
      </c>
      <c r="AC209" s="1034">
        <f t="shared" si="31"/>
        <v>822.58064516129036</v>
      </c>
      <c r="AD209" s="1034">
        <f t="shared" si="31"/>
        <v>852.75080906148867</v>
      </c>
      <c r="AE209" s="1034">
        <f t="shared" si="31"/>
        <v>883.11688311688317</v>
      </c>
      <c r="AF209" s="1034">
        <f t="shared" si="31"/>
        <v>913.68078175895766</v>
      </c>
      <c r="AG209" s="1034">
        <f t="shared" si="31"/>
        <v>944.44444444444446</v>
      </c>
      <c r="AH209" s="1034">
        <f t="shared" si="31"/>
        <v>975.40983606557381</v>
      </c>
      <c r="AI209" s="1034">
        <f t="shared" si="31"/>
        <v>1006.578947368421</v>
      </c>
      <c r="AJ209" s="1034">
        <f t="shared" si="31"/>
        <v>1037.953795379538</v>
      </c>
      <c r="AK209" s="1034">
        <f t="shared" si="31"/>
        <v>1069.5364238410596</v>
      </c>
      <c r="AL209" s="1034">
        <f t="shared" si="31"/>
        <v>1101.328903654485</v>
      </c>
      <c r="AM209" s="1034">
        <f t="shared" si="31"/>
        <v>1133.3333333333333</v>
      </c>
      <c r="AN209" s="1034">
        <f t="shared" si="31"/>
        <v>1165.551839464883</v>
      </c>
      <c r="AO209" s="1034">
        <f t="shared" si="31"/>
        <v>1197.9865771812081</v>
      </c>
      <c r="AP209" s="1034">
        <f t="shared" si="31"/>
        <v>1230.6397306397307</v>
      </c>
      <c r="AQ209" s="1034">
        <f t="shared" si="31"/>
        <v>1263.5135135135135</v>
      </c>
      <c r="AR209" s="1034">
        <f t="shared" si="31"/>
        <v>1296.6101694915255</v>
      </c>
      <c r="AS209" s="1034">
        <f t="shared" si="31"/>
        <v>1329.9319727891157</v>
      </c>
      <c r="AT209" s="1034">
        <f t="shared" si="31"/>
        <v>1363.4812286689421</v>
      </c>
      <c r="AU209" s="1034">
        <f t="shared" si="31"/>
        <v>1397.2602739726028</v>
      </c>
      <c r="AV209" s="1034">
        <f t="shared" si="31"/>
        <v>1431.2714776632301</v>
      </c>
      <c r="AW209" s="1034">
        <f t="shared" si="31"/>
        <v>1465.5172413793102</v>
      </c>
      <c r="AX209" s="1034">
        <f t="shared" si="31"/>
        <v>1500</v>
      </c>
      <c r="AY209" s="1034">
        <f t="shared" si="31"/>
        <v>1534.7222222222222</v>
      </c>
      <c r="AZ209" s="1034">
        <f t="shared" si="31"/>
        <v>1569.6864111498257</v>
      </c>
      <c r="BA209" s="1034">
        <f t="shared" si="31"/>
        <v>1604.8951048951049</v>
      </c>
      <c r="BB209" s="1034">
        <f t="shared" si="31"/>
        <v>1640.3508771929824</v>
      </c>
      <c r="BC209" s="1034">
        <f t="shared" si="31"/>
        <v>1676.056338028169</v>
      </c>
      <c r="BD209" s="1034">
        <f t="shared" si="31"/>
        <v>1712.0141342756183</v>
      </c>
      <c r="BE209" s="1034">
        <f t="shared" si="31"/>
        <v>1748.2269503546099</v>
      </c>
      <c r="BF209" s="1034">
        <f t="shared" si="31"/>
        <v>1784.6975088967972</v>
      </c>
    </row>
    <row r="210" spans="1:58">
      <c r="A210" s="1002">
        <v>2</v>
      </c>
      <c r="B210" s="231" t="s">
        <v>3085</v>
      </c>
      <c r="C210" s="1023">
        <f t="shared" ref="C210:BF210" si="32">C202/C208</f>
        <v>9.5238095238095237</v>
      </c>
      <c r="D210" s="1010">
        <f t="shared" si="32"/>
        <v>11.940298507462687</v>
      </c>
      <c r="E210" s="1010">
        <f t="shared" si="32"/>
        <v>14.371257485029941</v>
      </c>
      <c r="F210" s="1010">
        <f t="shared" si="32"/>
        <v>16.816816816816818</v>
      </c>
      <c r="G210" s="1010">
        <f t="shared" si="32"/>
        <v>19.277108433734941</v>
      </c>
      <c r="H210" s="1010">
        <f t="shared" si="32"/>
        <v>21.75226586102719</v>
      </c>
      <c r="I210" s="1010">
        <f t="shared" si="32"/>
        <v>24.242424242424242</v>
      </c>
      <c r="J210" s="1010">
        <f t="shared" si="32"/>
        <v>26.747720364741639</v>
      </c>
      <c r="K210" s="1010">
        <f t="shared" si="32"/>
        <v>29.26829268292683</v>
      </c>
      <c r="L210" s="1010">
        <f t="shared" si="32"/>
        <v>31.804281345565752</v>
      </c>
      <c r="M210" s="1010">
        <f t="shared" si="32"/>
        <v>34.355828220858896</v>
      </c>
      <c r="N210" s="1010">
        <f t="shared" si="32"/>
        <v>36.92307692307692</v>
      </c>
      <c r="O210" s="1010">
        <f t="shared" si="32"/>
        <v>39.506172839506171</v>
      </c>
      <c r="P210" s="1010">
        <f t="shared" si="32"/>
        <v>42.10526315789474</v>
      </c>
      <c r="Q210" s="1010">
        <f t="shared" si="32"/>
        <v>44.720496894409933</v>
      </c>
      <c r="R210" s="1010">
        <f t="shared" si="32"/>
        <v>47.352024922118382</v>
      </c>
      <c r="S210" s="1010">
        <f t="shared" si="32"/>
        <v>50</v>
      </c>
      <c r="T210" s="1010">
        <f t="shared" si="32"/>
        <v>52.664576802507838</v>
      </c>
      <c r="U210" s="1010">
        <f t="shared" si="32"/>
        <v>55.345911949685529</v>
      </c>
      <c r="V210" s="1010">
        <f t="shared" si="32"/>
        <v>58.044164037854891</v>
      </c>
      <c r="W210" s="1010">
        <f t="shared" si="32"/>
        <v>60.75949367088608</v>
      </c>
      <c r="X210" s="1010">
        <f t="shared" si="32"/>
        <v>63.492063492063494</v>
      </c>
      <c r="Y210" s="1010">
        <f t="shared" si="32"/>
        <v>66.242038216560516</v>
      </c>
      <c r="Z210" s="1011">
        <f t="shared" si="32"/>
        <v>69.009584664536732</v>
      </c>
      <c r="AA210" s="1034">
        <f t="shared" si="32"/>
        <v>71.794871794871796</v>
      </c>
      <c r="AB210" s="1034">
        <f t="shared" si="32"/>
        <v>74.59807073954984</v>
      </c>
      <c r="AC210" s="1034">
        <f t="shared" si="32"/>
        <v>77.41935483870968</v>
      </c>
      <c r="AD210" s="1034">
        <f t="shared" si="32"/>
        <v>80.258899676375407</v>
      </c>
      <c r="AE210" s="1034">
        <f t="shared" si="32"/>
        <v>83.116883116883116</v>
      </c>
      <c r="AF210" s="1034">
        <f t="shared" si="32"/>
        <v>85.99348534201954</v>
      </c>
      <c r="AG210" s="1034">
        <f t="shared" si="32"/>
        <v>88.888888888888886</v>
      </c>
      <c r="AH210" s="1034">
        <f t="shared" si="32"/>
        <v>91.8032786885246</v>
      </c>
      <c r="AI210" s="1034">
        <f t="shared" si="32"/>
        <v>94.73684210526315</v>
      </c>
      <c r="AJ210" s="1034">
        <f t="shared" si="32"/>
        <v>97.689768976897682</v>
      </c>
      <c r="AK210" s="1034">
        <f t="shared" si="32"/>
        <v>100.66225165562913</v>
      </c>
      <c r="AL210" s="1034">
        <f t="shared" si="32"/>
        <v>103.65448504983389</v>
      </c>
      <c r="AM210" s="1034">
        <f t="shared" si="32"/>
        <v>106.66666666666667</v>
      </c>
      <c r="AN210" s="1034">
        <f t="shared" si="32"/>
        <v>109.69899665551839</v>
      </c>
      <c r="AO210" s="1034">
        <f t="shared" si="32"/>
        <v>112.751677852349</v>
      </c>
      <c r="AP210" s="1034">
        <f t="shared" si="32"/>
        <v>115.82491582491583</v>
      </c>
      <c r="AQ210" s="1034">
        <f t="shared" si="32"/>
        <v>118.91891891891892</v>
      </c>
      <c r="AR210" s="1034">
        <f t="shared" si="32"/>
        <v>122.03389830508475</v>
      </c>
      <c r="AS210" s="1034">
        <f t="shared" si="32"/>
        <v>125.17006802721089</v>
      </c>
      <c r="AT210" s="1034">
        <f t="shared" si="32"/>
        <v>128.32764505119454</v>
      </c>
      <c r="AU210" s="1034">
        <f t="shared" si="32"/>
        <v>131.50684931506851</v>
      </c>
      <c r="AV210" s="1034">
        <f t="shared" si="32"/>
        <v>134.70790378006873</v>
      </c>
      <c r="AW210" s="1034">
        <f t="shared" si="32"/>
        <v>137.93103448275863</v>
      </c>
      <c r="AX210" s="1034">
        <f t="shared" si="32"/>
        <v>141.17647058823528</v>
      </c>
      <c r="AY210" s="1034">
        <f t="shared" si="32"/>
        <v>144.44444444444446</v>
      </c>
      <c r="AZ210" s="1034">
        <f t="shared" si="32"/>
        <v>147.73519163763066</v>
      </c>
      <c r="BA210" s="1034">
        <f t="shared" si="32"/>
        <v>151.04895104895104</v>
      </c>
      <c r="BB210" s="1034">
        <f t="shared" si="32"/>
        <v>154.38596491228071</v>
      </c>
      <c r="BC210" s="1034">
        <f t="shared" si="32"/>
        <v>157.74647887323945</v>
      </c>
      <c r="BD210" s="1034">
        <f t="shared" si="32"/>
        <v>161.13074204946997</v>
      </c>
      <c r="BE210" s="1034">
        <f t="shared" si="32"/>
        <v>164.5390070921986</v>
      </c>
      <c r="BF210" s="1034">
        <f t="shared" si="32"/>
        <v>167.97153024911032</v>
      </c>
    </row>
    <row r="211" spans="1:58">
      <c r="A211" s="1002">
        <v>2</v>
      </c>
      <c r="B211" s="231" t="s">
        <v>3086</v>
      </c>
      <c r="C211" s="1023">
        <f t="shared" ref="C211:BF211" si="33">C203/C208</f>
        <v>9.5238095238095237</v>
      </c>
      <c r="D211" s="1010">
        <f t="shared" si="33"/>
        <v>11.940298507462687</v>
      </c>
      <c r="E211" s="1010">
        <f t="shared" si="33"/>
        <v>14.371257485029941</v>
      </c>
      <c r="F211" s="1010">
        <f t="shared" si="33"/>
        <v>16.816816816816818</v>
      </c>
      <c r="G211" s="1010">
        <f t="shared" si="33"/>
        <v>19.277108433734941</v>
      </c>
      <c r="H211" s="1010">
        <f t="shared" si="33"/>
        <v>21.75226586102719</v>
      </c>
      <c r="I211" s="1010">
        <f t="shared" si="33"/>
        <v>24.242424242424242</v>
      </c>
      <c r="J211" s="1010">
        <f t="shared" si="33"/>
        <v>26.747720364741639</v>
      </c>
      <c r="K211" s="1010">
        <f t="shared" si="33"/>
        <v>29.26829268292683</v>
      </c>
      <c r="L211" s="1010">
        <f t="shared" si="33"/>
        <v>31.804281345565752</v>
      </c>
      <c r="M211" s="1010">
        <f t="shared" si="33"/>
        <v>34.355828220858896</v>
      </c>
      <c r="N211" s="1010">
        <f t="shared" si="33"/>
        <v>36.92307692307692</v>
      </c>
      <c r="O211" s="1010">
        <f t="shared" si="33"/>
        <v>39.506172839506171</v>
      </c>
      <c r="P211" s="1010">
        <f t="shared" si="33"/>
        <v>42.10526315789474</v>
      </c>
      <c r="Q211" s="1010">
        <f t="shared" si="33"/>
        <v>44.720496894409933</v>
      </c>
      <c r="R211" s="1010">
        <f t="shared" si="33"/>
        <v>47.352024922118382</v>
      </c>
      <c r="S211" s="1010">
        <f t="shared" si="33"/>
        <v>50</v>
      </c>
      <c r="T211" s="1010">
        <f t="shared" si="33"/>
        <v>52.664576802507838</v>
      </c>
      <c r="U211" s="1010">
        <f t="shared" si="33"/>
        <v>55.345911949685529</v>
      </c>
      <c r="V211" s="1010">
        <f t="shared" si="33"/>
        <v>58.044164037854891</v>
      </c>
      <c r="W211" s="1010">
        <f t="shared" si="33"/>
        <v>60.75949367088608</v>
      </c>
      <c r="X211" s="1010">
        <f t="shared" si="33"/>
        <v>63.492063492063494</v>
      </c>
      <c r="Y211" s="1010">
        <f t="shared" si="33"/>
        <v>66.242038216560516</v>
      </c>
      <c r="Z211" s="1011">
        <f t="shared" si="33"/>
        <v>69.009584664536732</v>
      </c>
      <c r="AA211" s="1034">
        <f t="shared" si="33"/>
        <v>71.794871794871796</v>
      </c>
      <c r="AB211" s="1034">
        <f t="shared" si="33"/>
        <v>74.59807073954984</v>
      </c>
      <c r="AC211" s="1034">
        <f t="shared" si="33"/>
        <v>77.41935483870968</v>
      </c>
      <c r="AD211" s="1034">
        <f t="shared" si="33"/>
        <v>80.258899676375407</v>
      </c>
      <c r="AE211" s="1034">
        <f t="shared" si="33"/>
        <v>83.116883116883116</v>
      </c>
      <c r="AF211" s="1034">
        <f t="shared" si="33"/>
        <v>85.99348534201954</v>
      </c>
      <c r="AG211" s="1034">
        <f t="shared" si="33"/>
        <v>88.888888888888886</v>
      </c>
      <c r="AH211" s="1034">
        <f t="shared" si="33"/>
        <v>91.8032786885246</v>
      </c>
      <c r="AI211" s="1034">
        <f t="shared" si="33"/>
        <v>94.73684210526315</v>
      </c>
      <c r="AJ211" s="1034">
        <f t="shared" si="33"/>
        <v>97.689768976897682</v>
      </c>
      <c r="AK211" s="1034">
        <f t="shared" si="33"/>
        <v>100.66225165562913</v>
      </c>
      <c r="AL211" s="1034">
        <f t="shared" si="33"/>
        <v>103.65448504983389</v>
      </c>
      <c r="AM211" s="1034">
        <f t="shared" si="33"/>
        <v>106.66666666666667</v>
      </c>
      <c r="AN211" s="1034">
        <f t="shared" si="33"/>
        <v>109.69899665551839</v>
      </c>
      <c r="AO211" s="1034">
        <f t="shared" si="33"/>
        <v>112.751677852349</v>
      </c>
      <c r="AP211" s="1034">
        <f t="shared" si="33"/>
        <v>115.82491582491583</v>
      </c>
      <c r="AQ211" s="1034">
        <f t="shared" si="33"/>
        <v>118.91891891891892</v>
      </c>
      <c r="AR211" s="1034">
        <f t="shared" si="33"/>
        <v>122.03389830508475</v>
      </c>
      <c r="AS211" s="1034">
        <f t="shared" si="33"/>
        <v>125.17006802721089</v>
      </c>
      <c r="AT211" s="1034">
        <f t="shared" si="33"/>
        <v>128.32764505119454</v>
      </c>
      <c r="AU211" s="1034">
        <f t="shared" si="33"/>
        <v>131.50684931506851</v>
      </c>
      <c r="AV211" s="1034">
        <f t="shared" si="33"/>
        <v>134.70790378006873</v>
      </c>
      <c r="AW211" s="1034">
        <f t="shared" si="33"/>
        <v>137.93103448275863</v>
      </c>
      <c r="AX211" s="1034">
        <f t="shared" si="33"/>
        <v>141.17647058823528</v>
      </c>
      <c r="AY211" s="1034">
        <f t="shared" si="33"/>
        <v>144.44444444444446</v>
      </c>
      <c r="AZ211" s="1034">
        <f t="shared" si="33"/>
        <v>147.73519163763066</v>
      </c>
      <c r="BA211" s="1034">
        <f t="shared" si="33"/>
        <v>151.04895104895104</v>
      </c>
      <c r="BB211" s="1034">
        <f t="shared" si="33"/>
        <v>154.38596491228071</v>
      </c>
      <c r="BC211" s="1034">
        <f t="shared" si="33"/>
        <v>157.74647887323945</v>
      </c>
      <c r="BD211" s="1034">
        <f t="shared" si="33"/>
        <v>161.13074204946997</v>
      </c>
      <c r="BE211" s="1034">
        <f t="shared" si="33"/>
        <v>164.5390070921986</v>
      </c>
      <c r="BF211" s="1034">
        <f t="shared" si="33"/>
        <v>167.97153024911032</v>
      </c>
    </row>
    <row r="212" spans="1:58">
      <c r="A212" s="1002">
        <v>2</v>
      </c>
      <c r="B212" s="231"/>
      <c r="C212" s="231"/>
      <c r="D212" s="300"/>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1014"/>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row>
    <row r="213" spans="1:58">
      <c r="A213" s="1002">
        <v>2</v>
      </c>
      <c r="B213" s="231" t="s">
        <v>3087</v>
      </c>
      <c r="C213" s="1025">
        <f t="shared" ref="C213:BF213" si="34">1/(C209/C205)^2</f>
        <v>0.9766089965397925</v>
      </c>
      <c r="D213" s="1016">
        <f t="shared" si="34"/>
        <v>0.97080449826989612</v>
      </c>
      <c r="E213" s="1016">
        <f t="shared" si="34"/>
        <v>0.96501730103806227</v>
      </c>
      <c r="F213" s="1016">
        <f t="shared" si="34"/>
        <v>0.95924740484429094</v>
      </c>
      <c r="G213" s="1016">
        <f t="shared" si="34"/>
        <v>0.95349480968858114</v>
      </c>
      <c r="H213" s="1016">
        <f t="shared" si="34"/>
        <v>0.94775951557093407</v>
      </c>
      <c r="I213" s="1016">
        <f t="shared" si="34"/>
        <v>0.94204152249134954</v>
      </c>
      <c r="J213" s="1016">
        <f t="shared" si="34"/>
        <v>0.93634083044982686</v>
      </c>
      <c r="K213" s="1016">
        <f t="shared" si="34"/>
        <v>0.93065743944636681</v>
      </c>
      <c r="L213" s="1016">
        <f t="shared" si="34"/>
        <v>0.92499134948096851</v>
      </c>
      <c r="M213" s="1016">
        <f t="shared" si="34"/>
        <v>0.91934256055363328</v>
      </c>
      <c r="N213" s="1016">
        <f t="shared" si="34"/>
        <v>0.9137110726643598</v>
      </c>
      <c r="O213" s="1016">
        <f t="shared" si="34"/>
        <v>0.90809688581314874</v>
      </c>
      <c r="P213" s="1016">
        <f t="shared" si="34"/>
        <v>0.90250000000000008</v>
      </c>
      <c r="Q213" s="1016">
        <f t="shared" si="34"/>
        <v>0.8969204152249135</v>
      </c>
      <c r="R213" s="1016">
        <f t="shared" si="34"/>
        <v>0.89135813148788945</v>
      </c>
      <c r="S213" s="1016">
        <f t="shared" si="34"/>
        <v>0.88581314878892736</v>
      </c>
      <c r="T213" s="1016">
        <f t="shared" si="34"/>
        <v>0.88028546712802769</v>
      </c>
      <c r="U213" s="1016">
        <f t="shared" si="34"/>
        <v>0.87477508650519031</v>
      </c>
      <c r="V213" s="1016">
        <f t="shared" si="34"/>
        <v>0.86928200692041524</v>
      </c>
      <c r="W213" s="1016">
        <f t="shared" si="34"/>
        <v>0.86380622837370258</v>
      </c>
      <c r="X213" s="1016">
        <f t="shared" si="34"/>
        <v>0.85834775086505199</v>
      </c>
      <c r="Y213" s="1016">
        <f t="shared" si="34"/>
        <v>0.85290657439446371</v>
      </c>
      <c r="Z213" s="1017">
        <f t="shared" si="34"/>
        <v>0.84748269896193751</v>
      </c>
      <c r="AA213" s="1035">
        <f t="shared" si="34"/>
        <v>0.84207612456747416</v>
      </c>
      <c r="AB213" s="1035">
        <f t="shared" si="34"/>
        <v>0.83668685121107278</v>
      </c>
      <c r="AC213" s="1035">
        <f t="shared" si="34"/>
        <v>0.83131487889273337</v>
      </c>
      <c r="AD213" s="1035">
        <f t="shared" si="34"/>
        <v>0.82596020761245659</v>
      </c>
      <c r="AE213" s="1035">
        <f t="shared" si="34"/>
        <v>0.82062283737024222</v>
      </c>
      <c r="AF213" s="1035">
        <f t="shared" si="34"/>
        <v>0.81530276816608993</v>
      </c>
      <c r="AG213" s="1035">
        <f t="shared" si="34"/>
        <v>0.80999999999999994</v>
      </c>
      <c r="AH213" s="1035">
        <f t="shared" si="34"/>
        <v>0.80471453287197214</v>
      </c>
      <c r="AI213" s="1035">
        <f t="shared" si="34"/>
        <v>0.79944636678200698</v>
      </c>
      <c r="AJ213" s="1035">
        <f t="shared" si="34"/>
        <v>0.79419550173010367</v>
      </c>
      <c r="AK213" s="1035">
        <f t="shared" si="34"/>
        <v>0.788961937716263</v>
      </c>
      <c r="AL213" s="1035">
        <f t="shared" si="34"/>
        <v>0.78374567474048462</v>
      </c>
      <c r="AM213" s="1035">
        <f t="shared" si="34"/>
        <v>0.77854671280276821</v>
      </c>
      <c r="AN213" s="1035">
        <f t="shared" si="34"/>
        <v>0.77336505190311422</v>
      </c>
      <c r="AO213" s="1035">
        <f t="shared" si="34"/>
        <v>0.7682006920415223</v>
      </c>
      <c r="AP213" s="1035">
        <f t="shared" si="34"/>
        <v>0.76305363321799291</v>
      </c>
      <c r="AQ213" s="1035">
        <f t="shared" si="34"/>
        <v>0.75792387543252593</v>
      </c>
      <c r="AR213" s="1035">
        <f t="shared" si="34"/>
        <v>0.75281141868512103</v>
      </c>
      <c r="AS213" s="1035">
        <f t="shared" si="34"/>
        <v>0.74771626297577864</v>
      </c>
      <c r="AT213" s="1035">
        <f t="shared" si="34"/>
        <v>0.74263840830449801</v>
      </c>
      <c r="AU213" s="1035">
        <f t="shared" si="34"/>
        <v>0.73757785467128023</v>
      </c>
      <c r="AV213" s="1035">
        <f t="shared" si="34"/>
        <v>0.73253460207612475</v>
      </c>
      <c r="AW213" s="1035">
        <f t="shared" si="34"/>
        <v>0.72750865051903124</v>
      </c>
      <c r="AX213" s="1035">
        <f t="shared" si="34"/>
        <v>0.72249999999999992</v>
      </c>
      <c r="AY213" s="1035">
        <f t="shared" si="34"/>
        <v>0.71750865051903112</v>
      </c>
      <c r="AZ213" s="1035">
        <f t="shared" si="34"/>
        <v>0.71253460207612451</v>
      </c>
      <c r="BA213" s="1035">
        <f t="shared" si="34"/>
        <v>0.70757785467128032</v>
      </c>
      <c r="BB213" s="1035">
        <f t="shared" si="34"/>
        <v>0.70263840830449842</v>
      </c>
      <c r="BC213" s="1035">
        <f t="shared" si="34"/>
        <v>0.6977162629757786</v>
      </c>
      <c r="BD213" s="1035">
        <f t="shared" si="34"/>
        <v>0.69281141868512131</v>
      </c>
      <c r="BE213" s="1035">
        <f t="shared" si="34"/>
        <v>0.68792387543252598</v>
      </c>
      <c r="BF213" s="1035">
        <f t="shared" si="34"/>
        <v>0.68305363321799295</v>
      </c>
    </row>
    <row r="214" spans="1:58">
      <c r="A214" s="1002">
        <v>2</v>
      </c>
      <c r="B214" s="231" t="s">
        <v>3088</v>
      </c>
      <c r="C214" s="1025">
        <f t="shared" ref="C214:BF214" si="35">(C209/C205)^2</f>
        <v>1.0239512471655328</v>
      </c>
      <c r="D214" s="1016">
        <f t="shared" si="35"/>
        <v>1.0300735130318557</v>
      </c>
      <c r="E214" s="1016">
        <f t="shared" si="35"/>
        <v>1.0362508515902327</v>
      </c>
      <c r="F214" s="1016">
        <f t="shared" si="35"/>
        <v>1.0424839253668079</v>
      </c>
      <c r="G214" s="1016">
        <f t="shared" si="35"/>
        <v>1.0487734068805343</v>
      </c>
      <c r="H214" s="1016">
        <f t="shared" si="35"/>
        <v>1.055119978824582</v>
      </c>
      <c r="I214" s="1016">
        <f t="shared" si="35"/>
        <v>1.061524334251607</v>
      </c>
      <c r="J214" s="1016">
        <f t="shared" si="35"/>
        <v>1.0679871767629643</v>
      </c>
      <c r="K214" s="1016">
        <f t="shared" si="35"/>
        <v>1.0745092207019631</v>
      </c>
      <c r="L214" s="1016">
        <f t="shared" si="35"/>
        <v>1.0810911913512709</v>
      </c>
      <c r="M214" s="1016">
        <f t="shared" si="35"/>
        <v>1.0877338251345552</v>
      </c>
      <c r="N214" s="1016">
        <f t="shared" si="35"/>
        <v>1.0944378698224853</v>
      </c>
      <c r="O214" s="1016">
        <f t="shared" si="35"/>
        <v>1.1012040847431794</v>
      </c>
      <c r="P214" s="1016">
        <f t="shared" si="35"/>
        <v>1.1080332409972298</v>
      </c>
      <c r="Q214" s="1016">
        <f t="shared" si="35"/>
        <v>1.1149261216774045</v>
      </c>
      <c r="R214" s="1016">
        <f t="shared" si="35"/>
        <v>1.1218835220931471</v>
      </c>
      <c r="S214" s="1016">
        <f t="shared" si="35"/>
        <v>1.12890625</v>
      </c>
      <c r="T214" s="1016">
        <f t="shared" si="35"/>
        <v>1.1359951258340621</v>
      </c>
      <c r="U214" s="1016">
        <f t="shared" si="35"/>
        <v>1.1431509829516238</v>
      </c>
      <c r="V214" s="1016">
        <f t="shared" si="35"/>
        <v>1.1503746678740956</v>
      </c>
      <c r="W214" s="1016">
        <f t="shared" si="35"/>
        <v>1.1576670405383751</v>
      </c>
      <c r="X214" s="1016">
        <f t="shared" si="35"/>
        <v>1.165028974552784</v>
      </c>
      <c r="Y214" s="1016">
        <f t="shared" si="35"/>
        <v>1.1724613574587204</v>
      </c>
      <c r="Z214" s="1017">
        <f t="shared" si="35"/>
        <v>1.1799650909981731</v>
      </c>
      <c r="AA214" s="1035">
        <f t="shared" si="35"/>
        <v>1.1875410913872451</v>
      </c>
      <c r="AB214" s="1035">
        <f t="shared" si="35"/>
        <v>1.1951902895958477</v>
      </c>
      <c r="AC214" s="1035">
        <f t="shared" si="35"/>
        <v>1.2029136316337152</v>
      </c>
      <c r="AD214" s="1035">
        <f t="shared" si="35"/>
        <v>1.2107120788429113</v>
      </c>
      <c r="AE214" s="1035">
        <f t="shared" si="35"/>
        <v>1.2185866081969978</v>
      </c>
      <c r="AF214" s="1035">
        <f t="shared" si="35"/>
        <v>1.2265382126070303</v>
      </c>
      <c r="AG214" s="1035">
        <f t="shared" si="35"/>
        <v>1.2345679012345681</v>
      </c>
      <c r="AH214" s="1035">
        <f t="shared" si="35"/>
        <v>1.2426766998118788</v>
      </c>
      <c r="AI214" s="1035">
        <f t="shared" si="35"/>
        <v>1.2508656509695291</v>
      </c>
      <c r="AJ214" s="1035">
        <f t="shared" si="35"/>
        <v>1.2591358145715563</v>
      </c>
      <c r="AK214" s="1035">
        <f t="shared" si="35"/>
        <v>1.2674882680584185</v>
      </c>
      <c r="AL214" s="1035">
        <f t="shared" si="35"/>
        <v>1.2759241067979379</v>
      </c>
      <c r="AM214" s="1035">
        <f t="shared" si="35"/>
        <v>1.2844444444444443</v>
      </c>
      <c r="AN214" s="1035">
        <f t="shared" si="35"/>
        <v>1.2930504133063387</v>
      </c>
      <c r="AO214" s="1035">
        <f t="shared" si="35"/>
        <v>1.3017431647223101</v>
      </c>
      <c r="AP214" s="1035">
        <f t="shared" si="35"/>
        <v>1.3105238694464287</v>
      </c>
      <c r="AQ214" s="1035">
        <f t="shared" si="35"/>
        <v>1.3193937180423667</v>
      </c>
      <c r="AR214" s="1035">
        <f t="shared" si="35"/>
        <v>1.3283539212869866</v>
      </c>
      <c r="AS214" s="1035">
        <f t="shared" si="35"/>
        <v>1.3374057105835531</v>
      </c>
      <c r="AT214" s="1035">
        <f t="shared" si="35"/>
        <v>1.346550338384839</v>
      </c>
      <c r="AU214" s="1035">
        <f t="shared" si="35"/>
        <v>1.355789078626384</v>
      </c>
      <c r="AV214" s="1035">
        <f t="shared" si="35"/>
        <v>1.3651232271702032</v>
      </c>
      <c r="AW214" s="1035">
        <f t="shared" si="35"/>
        <v>1.3745541022592149</v>
      </c>
      <c r="AX214" s="1035">
        <f t="shared" si="35"/>
        <v>1.3840830449826991</v>
      </c>
      <c r="AY214" s="1035">
        <f t="shared" si="35"/>
        <v>1.3937114197530864</v>
      </c>
      <c r="AZ214" s="1035">
        <f t="shared" si="35"/>
        <v>1.403440614794401</v>
      </c>
      <c r="BA214" s="1035">
        <f t="shared" si="35"/>
        <v>1.4132720426426719</v>
      </c>
      <c r="BB214" s="1035">
        <f t="shared" si="35"/>
        <v>1.4232071406586639</v>
      </c>
      <c r="BC214" s="1035">
        <f t="shared" si="35"/>
        <v>1.4332473715532632</v>
      </c>
      <c r="BD214" s="1035">
        <f t="shared" si="35"/>
        <v>1.4433942239258821</v>
      </c>
      <c r="BE214" s="1035">
        <f t="shared" si="35"/>
        <v>1.4536492128162566</v>
      </c>
      <c r="BF214" s="1035">
        <f t="shared" si="35"/>
        <v>1.4640138802700069</v>
      </c>
    </row>
    <row r="215" spans="1:58">
      <c r="A215" s="1002"/>
      <c r="B215" s="1003"/>
      <c r="C215" s="1003"/>
      <c r="D215" s="300"/>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1014"/>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row>
    <row r="216" spans="1:58">
      <c r="A216" s="1002"/>
      <c r="B216" s="1026" t="s">
        <v>3090</v>
      </c>
      <c r="C216" s="1044">
        <f t="shared" ref="C216:BF216" si="36">C194/C211</f>
        <v>1.2173913043478262</v>
      </c>
      <c r="D216" s="1044">
        <f t="shared" si="36"/>
        <v>1.218181818181818</v>
      </c>
      <c r="E216" s="1044">
        <f t="shared" si="36"/>
        <v>1.218978102189781</v>
      </c>
      <c r="F216" s="1044">
        <f t="shared" si="36"/>
        <v>1.2197802197802199</v>
      </c>
      <c r="G216" s="1044">
        <f t="shared" si="36"/>
        <v>1.2205882352941175</v>
      </c>
      <c r="H216" s="1044">
        <f t="shared" si="36"/>
        <v>1.2214022140221401</v>
      </c>
      <c r="I216" s="1044">
        <f t="shared" si="36"/>
        <v>1.2222222222222223</v>
      </c>
      <c r="J216" s="1044">
        <f t="shared" si="36"/>
        <v>1.2230483271375467</v>
      </c>
      <c r="K216" s="1044">
        <f t="shared" si="36"/>
        <v>1.2238805970149254</v>
      </c>
      <c r="L216" s="1044">
        <f t="shared" si="36"/>
        <v>1.2247191011235954</v>
      </c>
      <c r="M216" s="1044">
        <f t="shared" si="36"/>
        <v>1.2255639097744362</v>
      </c>
      <c r="N216" s="1044">
        <f t="shared" si="36"/>
        <v>1.2264150943396226</v>
      </c>
      <c r="O216" s="1044">
        <f t="shared" si="36"/>
        <v>1.2272727272727273</v>
      </c>
      <c r="P216" s="1044">
        <f t="shared" si="36"/>
        <v>1.2281368821292775</v>
      </c>
      <c r="Q216" s="1044">
        <f t="shared" si="36"/>
        <v>1.2290076335877864</v>
      </c>
      <c r="R216" s="1044">
        <f t="shared" si="36"/>
        <v>1.2298850574712643</v>
      </c>
      <c r="S216" s="1044">
        <f t="shared" si="36"/>
        <v>1.2307692307692308</v>
      </c>
      <c r="T216" s="1044">
        <f t="shared" si="36"/>
        <v>1.2316602316602314</v>
      </c>
      <c r="U216" s="1044">
        <f t="shared" si="36"/>
        <v>1.2325581395348839</v>
      </c>
      <c r="V216" s="1044">
        <f t="shared" si="36"/>
        <v>1.2334630350194553</v>
      </c>
      <c r="W216" s="1044">
        <f t="shared" si="36"/>
        <v>1.234375</v>
      </c>
      <c r="X216" s="1044">
        <f t="shared" si="36"/>
        <v>1.2352941176470589</v>
      </c>
      <c r="Y216" s="1044">
        <f t="shared" si="36"/>
        <v>1.2362204724409447</v>
      </c>
      <c r="Z216" s="1045">
        <f t="shared" si="36"/>
        <v>1.2371541501976286</v>
      </c>
      <c r="AA216" s="1046">
        <f t="shared" si="36"/>
        <v>1.2380952380952381</v>
      </c>
      <c r="AB216" s="1046">
        <f t="shared" si="36"/>
        <v>1.2390438247011952</v>
      </c>
      <c r="AC216" s="1046">
        <f t="shared" si="36"/>
        <v>1.24</v>
      </c>
      <c r="AD216" s="1046">
        <f t="shared" si="36"/>
        <v>1.2409638554216866</v>
      </c>
      <c r="AE216" s="1046">
        <f t="shared" si="36"/>
        <v>1.2419354838709677</v>
      </c>
      <c r="AF216" s="1046">
        <f t="shared" si="36"/>
        <v>1.2429149797570851</v>
      </c>
      <c r="AG216" s="1046">
        <f t="shared" si="36"/>
        <v>1.2439024390243905</v>
      </c>
      <c r="AH216" s="1046">
        <f t="shared" si="36"/>
        <v>1.2448979591836733</v>
      </c>
      <c r="AI216" s="1046">
        <f t="shared" si="36"/>
        <v>1.2459016393442623</v>
      </c>
      <c r="AJ216" s="1046">
        <f t="shared" si="36"/>
        <v>1.2469135802469136</v>
      </c>
      <c r="AK216" s="1046">
        <f t="shared" si="36"/>
        <v>1.2479338842975207</v>
      </c>
      <c r="AL216" s="1046">
        <f t="shared" si="36"/>
        <v>1.2489626556016595</v>
      </c>
      <c r="AM216" s="1046">
        <f t="shared" si="36"/>
        <v>1.25</v>
      </c>
      <c r="AN216" s="1046">
        <f t="shared" si="36"/>
        <v>1.2510460251046027</v>
      </c>
      <c r="AO216" s="1046">
        <f t="shared" si="36"/>
        <v>1.2521008403361342</v>
      </c>
      <c r="AP216" s="1046">
        <f t="shared" si="36"/>
        <v>1.2531645569620251</v>
      </c>
      <c r="AQ216" s="1046">
        <f t="shared" si="36"/>
        <v>1.2542372881355932</v>
      </c>
      <c r="AR216" s="1046">
        <f t="shared" si="36"/>
        <v>1.2553191489361701</v>
      </c>
      <c r="AS216" s="1046">
        <f t="shared" si="36"/>
        <v>1.2564102564102562</v>
      </c>
      <c r="AT216" s="1046">
        <f t="shared" si="36"/>
        <v>1.257510729613734</v>
      </c>
      <c r="AU216" s="1046">
        <f t="shared" si="36"/>
        <v>1.2586206896551724</v>
      </c>
      <c r="AV216" s="1046">
        <f t="shared" si="36"/>
        <v>1.2597402597402596</v>
      </c>
      <c r="AW216" s="1046">
        <f t="shared" si="36"/>
        <v>1.2608695652173911</v>
      </c>
      <c r="AX216" s="1046">
        <f t="shared" si="36"/>
        <v>1.2620087336244543</v>
      </c>
      <c r="AY216" s="1046">
        <f t="shared" si="36"/>
        <v>1.2631578947368418</v>
      </c>
      <c r="AZ216" s="1046">
        <f t="shared" si="36"/>
        <v>1.2643171806167401</v>
      </c>
      <c r="BA216" s="1046">
        <f t="shared" si="36"/>
        <v>1.265486725663717</v>
      </c>
      <c r="BB216" s="1046">
        <f t="shared" si="36"/>
        <v>1.2666666666666666</v>
      </c>
      <c r="BC216" s="1046">
        <f t="shared" si="36"/>
        <v>1.2678571428571428</v>
      </c>
      <c r="BD216" s="1046">
        <f t="shared" si="36"/>
        <v>1.2690582959641254</v>
      </c>
      <c r="BE216" s="1046">
        <f t="shared" si="36"/>
        <v>1.2702702702702702</v>
      </c>
      <c r="BF216" s="1046">
        <f t="shared" si="36"/>
        <v>1.2714932126696834</v>
      </c>
    </row>
    <row r="254" spans="1:18">
      <c r="A254" s="24"/>
      <c r="B254" s="24"/>
      <c r="C254" s="24"/>
      <c r="D254" s="24"/>
      <c r="E254" s="24"/>
      <c r="F254" s="24"/>
      <c r="G254" s="24"/>
      <c r="H254" s="24"/>
      <c r="I254" s="24"/>
      <c r="J254" s="24"/>
      <c r="K254" s="24"/>
      <c r="L254" s="24"/>
      <c r="M254" s="24"/>
      <c r="N254" s="24"/>
      <c r="O254" s="24"/>
      <c r="P254" s="24"/>
      <c r="Q254" s="24"/>
      <c r="R254" s="24"/>
    </row>
    <row r="255" spans="1:18">
      <c r="A255" s="24"/>
      <c r="B255" s="24"/>
      <c r="C255" s="24"/>
      <c r="D255" s="24"/>
      <c r="E255" s="24"/>
      <c r="F255" s="24"/>
      <c r="G255" s="24"/>
      <c r="H255" s="24"/>
      <c r="I255" s="24"/>
      <c r="J255" s="24"/>
      <c r="K255" s="24"/>
      <c r="L255" s="24"/>
      <c r="M255" s="24"/>
      <c r="N255" s="24"/>
      <c r="O255" s="24"/>
      <c r="P255" s="24"/>
      <c r="Q255" s="24"/>
      <c r="R255" s="24"/>
    </row>
    <row r="256" spans="1:18">
      <c r="A256" s="24"/>
      <c r="B256" s="24"/>
      <c r="C256" s="24"/>
      <c r="D256" s="24"/>
      <c r="E256" s="24"/>
      <c r="F256" s="24"/>
      <c r="G256" s="24"/>
      <c r="H256" s="24"/>
      <c r="I256" s="24"/>
      <c r="J256" s="24"/>
      <c r="K256" s="24"/>
      <c r="L256" s="24"/>
      <c r="M256" s="24"/>
      <c r="N256" s="24"/>
      <c r="O256" s="24"/>
      <c r="P256" s="24"/>
      <c r="Q256" s="24"/>
      <c r="R256" s="24"/>
    </row>
    <row r="257" spans="1:18">
      <c r="A257" s="24"/>
      <c r="B257" s="24" t="s">
        <v>3092</v>
      </c>
      <c r="C257" s="346"/>
      <c r="D257" s="24"/>
      <c r="E257" s="24"/>
      <c r="F257" s="24"/>
      <c r="G257" s="24"/>
      <c r="H257" s="24"/>
      <c r="I257" s="24"/>
      <c r="J257" s="24"/>
      <c r="K257" s="24"/>
      <c r="L257" s="24"/>
      <c r="M257" s="24"/>
      <c r="N257" s="24"/>
      <c r="O257" s="24"/>
      <c r="P257" s="24"/>
      <c r="Q257" s="24"/>
      <c r="R257" s="24"/>
    </row>
    <row r="258" spans="1:18">
      <c r="A258" s="24"/>
      <c r="B258" s="24" t="s">
        <v>3093</v>
      </c>
      <c r="C258" s="346"/>
      <c r="D258" s="24"/>
      <c r="E258" s="24"/>
      <c r="F258" s="24"/>
      <c r="G258" s="24"/>
      <c r="H258" s="24"/>
      <c r="I258" s="24"/>
      <c r="J258" s="24"/>
      <c r="K258" s="24"/>
      <c r="L258" s="24"/>
      <c r="M258" s="24"/>
      <c r="N258" s="24"/>
      <c r="O258" s="24"/>
      <c r="P258" s="24"/>
      <c r="Q258" s="24"/>
      <c r="R258" s="24"/>
    </row>
    <row r="259" spans="1:18">
      <c r="A259" s="24"/>
      <c r="B259" s="65"/>
      <c r="C259" s="346"/>
      <c r="D259" s="24"/>
      <c r="E259" s="24"/>
      <c r="F259" s="24"/>
      <c r="G259" s="24"/>
      <c r="H259" s="24"/>
      <c r="I259" s="24"/>
      <c r="J259" s="24"/>
      <c r="K259" s="24"/>
      <c r="L259" s="24"/>
      <c r="M259" s="24"/>
      <c r="N259" s="24"/>
      <c r="O259" s="24"/>
      <c r="P259" s="24"/>
      <c r="Q259" s="24"/>
      <c r="R259" s="24"/>
    </row>
    <row r="260" spans="1:18">
      <c r="A260" s="24"/>
      <c r="B260" s="65"/>
      <c r="C260" s="346"/>
      <c r="D260" s="24"/>
      <c r="E260" s="24"/>
      <c r="F260" s="24"/>
      <c r="G260" s="24"/>
      <c r="H260" s="24"/>
      <c r="I260" s="24"/>
      <c r="J260" s="24"/>
      <c r="K260" s="24"/>
      <c r="L260" s="24"/>
      <c r="M260" s="24"/>
      <c r="N260" s="24"/>
      <c r="O260" s="24"/>
      <c r="P260" s="24"/>
      <c r="Q260" s="24"/>
      <c r="R260" s="24"/>
    </row>
    <row r="261" spans="1:18">
      <c r="A261" s="24"/>
      <c r="B261" s="24" t="s">
        <v>3094</v>
      </c>
      <c r="C261" s="346"/>
      <c r="E261" s="24"/>
      <c r="F261" s="24"/>
      <c r="G261" s="24"/>
      <c r="H261" s="24"/>
      <c r="I261" s="24"/>
      <c r="J261" s="24"/>
      <c r="K261" s="24"/>
      <c r="L261" s="24"/>
      <c r="M261" s="24"/>
      <c r="N261" s="24"/>
      <c r="O261" s="24"/>
      <c r="P261" s="24"/>
      <c r="Q261" s="24"/>
      <c r="R261" s="24"/>
    </row>
    <row r="262" spans="1:18">
      <c r="A262" s="24"/>
      <c r="B262" s="65"/>
      <c r="C262" s="346"/>
      <c r="D262" s="24"/>
      <c r="E262" s="24"/>
      <c r="F262" s="24"/>
      <c r="G262" s="24"/>
      <c r="H262" s="24"/>
      <c r="I262" s="24"/>
      <c r="J262" s="24"/>
      <c r="K262" s="24"/>
      <c r="L262" s="24"/>
      <c r="M262" s="24"/>
      <c r="N262" s="24"/>
      <c r="O262" s="24"/>
      <c r="P262" s="24"/>
      <c r="Q262" s="24"/>
      <c r="R262" s="24"/>
    </row>
    <row r="263" spans="1:18">
      <c r="A263" s="24"/>
      <c r="B263" s="24"/>
      <c r="C263" s="346"/>
      <c r="D263" s="24"/>
      <c r="E263" s="24"/>
      <c r="F263" s="24"/>
      <c r="G263" s="24"/>
      <c r="H263" s="24"/>
      <c r="I263" s="24"/>
      <c r="J263" s="24"/>
      <c r="K263" s="24"/>
      <c r="L263" s="24"/>
      <c r="M263" s="24"/>
      <c r="N263" s="24"/>
      <c r="O263" s="24"/>
      <c r="P263" s="24"/>
      <c r="Q263" s="24"/>
      <c r="R263" s="24"/>
    </row>
    <row r="264" spans="1:18">
      <c r="A264" s="24"/>
      <c r="B264" t="s">
        <v>343</v>
      </c>
      <c r="C264" s="1047">
        <v>18</v>
      </c>
      <c r="D264" s="24"/>
      <c r="E264" s="24"/>
      <c r="F264" s="24"/>
      <c r="G264" s="24"/>
      <c r="H264" s="24"/>
      <c r="I264" s="24"/>
      <c r="J264" s="24"/>
      <c r="K264" s="24"/>
      <c r="L264" s="24"/>
      <c r="M264" s="24"/>
      <c r="N264" s="24"/>
      <c r="O264" s="24"/>
      <c r="P264" s="24"/>
      <c r="Q264" s="24"/>
      <c r="R264" s="24"/>
    </row>
    <row r="265" spans="1:18">
      <c r="A265" s="24"/>
      <c r="B265" t="s">
        <v>345</v>
      </c>
      <c r="C265" s="1047">
        <v>24</v>
      </c>
      <c r="D265" s="24"/>
      <c r="E265" s="24"/>
      <c r="F265" s="24"/>
      <c r="G265" s="24"/>
      <c r="H265" s="24"/>
      <c r="I265" s="24"/>
      <c r="J265" s="24"/>
      <c r="K265" s="24"/>
      <c r="L265" s="24"/>
      <c r="M265" s="24"/>
      <c r="N265" s="24"/>
      <c r="O265" s="24"/>
      <c r="P265" s="24"/>
      <c r="Q265" s="24"/>
      <c r="R265" s="24"/>
    </row>
    <row r="266" spans="1:18">
      <c r="A266" s="24"/>
      <c r="D266" s="24"/>
      <c r="E266" s="24"/>
      <c r="F266" s="24"/>
      <c r="G266" s="24"/>
      <c r="H266" s="24"/>
      <c r="I266" s="24"/>
      <c r="J266" s="24"/>
      <c r="K266" s="24"/>
      <c r="L266" s="24"/>
      <c r="M266" s="24"/>
      <c r="N266" s="24"/>
      <c r="O266" s="24"/>
      <c r="P266" s="24"/>
      <c r="Q266" s="24"/>
      <c r="R266" s="24"/>
    </row>
    <row r="267" spans="1:18">
      <c r="A267" s="24"/>
      <c r="D267" s="24"/>
      <c r="E267" s="24"/>
      <c r="F267" s="24"/>
      <c r="G267" s="24"/>
      <c r="H267" s="24"/>
      <c r="I267" s="24"/>
      <c r="J267" s="24"/>
      <c r="K267" s="24"/>
      <c r="L267" s="24"/>
      <c r="M267" s="24"/>
      <c r="N267" s="24"/>
      <c r="O267" s="24"/>
      <c r="P267" s="24"/>
      <c r="Q267" s="24"/>
      <c r="R267" s="24"/>
    </row>
    <row r="268" spans="1:18">
      <c r="A268" s="24"/>
      <c r="B268" t="s">
        <v>3111</v>
      </c>
      <c r="C268" s="1048">
        <v>69.282031601511633</v>
      </c>
      <c r="D268" s="24"/>
      <c r="E268" s="24"/>
      <c r="F268" s="24"/>
      <c r="G268" s="24"/>
      <c r="H268" s="24"/>
      <c r="I268" s="24"/>
      <c r="J268" s="24"/>
      <c r="K268" s="24"/>
      <c r="L268" s="24"/>
      <c r="M268" s="24"/>
      <c r="N268" s="24"/>
      <c r="O268" s="24"/>
      <c r="P268" s="24"/>
      <c r="Q268" s="24"/>
      <c r="R268" s="24"/>
    </row>
    <row r="269" spans="1:18">
      <c r="A269" s="24"/>
      <c r="B269" t="s">
        <v>3095</v>
      </c>
      <c r="C269" s="903">
        <f>C265*C268/C264</f>
        <v>92.376042135348854</v>
      </c>
      <c r="D269" s="24"/>
      <c r="E269" s="24" t="s">
        <v>3114</v>
      </c>
      <c r="F269" s="24"/>
      <c r="G269" s="24"/>
      <c r="H269" s="24"/>
      <c r="I269" s="24"/>
      <c r="J269" s="24"/>
      <c r="K269" s="24"/>
      <c r="L269" s="24"/>
      <c r="M269" s="24"/>
      <c r="N269" s="24"/>
      <c r="O269" s="24"/>
      <c r="P269" s="24"/>
      <c r="Q269" s="24"/>
      <c r="R269" s="24"/>
    </row>
    <row r="270" spans="1:18">
      <c r="A270" s="24"/>
      <c r="B270" t="s">
        <v>3110</v>
      </c>
      <c r="C270" s="1049">
        <f>C268*C269</f>
        <v>6399.9998704438094</v>
      </c>
      <c r="D270" s="24"/>
      <c r="E270" s="24" t="s">
        <v>3115</v>
      </c>
      <c r="F270" s="24"/>
      <c r="G270" s="24"/>
      <c r="H270" s="24"/>
      <c r="I270" s="24"/>
      <c r="J270" s="24"/>
      <c r="K270" s="24"/>
      <c r="L270" s="24"/>
      <c r="M270" s="24"/>
      <c r="N270" s="24"/>
      <c r="O270" s="24"/>
      <c r="P270" s="24"/>
      <c r="Q270" s="24"/>
      <c r="R270" s="24"/>
    </row>
    <row r="271" spans="1:18">
      <c r="A271" s="24"/>
      <c r="C271" s="903"/>
      <c r="D271" s="24"/>
      <c r="E271" s="24"/>
      <c r="F271" s="24"/>
      <c r="G271" s="24"/>
      <c r="H271" s="24"/>
      <c r="I271" s="24"/>
      <c r="J271" s="24"/>
      <c r="K271" s="24"/>
      <c r="L271" s="24"/>
      <c r="M271" s="24"/>
      <c r="N271" s="24"/>
      <c r="O271" s="24"/>
      <c r="P271" s="24"/>
      <c r="Q271" s="24"/>
      <c r="R271" s="24"/>
    </row>
    <row r="272" spans="1:18">
      <c r="A272" s="24"/>
      <c r="B272" t="s">
        <v>282</v>
      </c>
      <c r="C272" s="897">
        <f>C268/C264</f>
        <v>3.8490017556395353</v>
      </c>
      <c r="D272" s="24"/>
      <c r="E272" s="24" t="s">
        <v>3116</v>
      </c>
      <c r="F272" s="24"/>
      <c r="G272" s="24"/>
      <c r="H272" s="24"/>
      <c r="I272" s="24"/>
      <c r="J272" s="24"/>
      <c r="K272" s="24"/>
      <c r="L272" s="24"/>
      <c r="M272" s="24"/>
      <c r="N272" s="24"/>
      <c r="O272" s="24"/>
      <c r="P272" s="24"/>
      <c r="Q272" s="24"/>
      <c r="R272" s="24"/>
    </row>
    <row r="273" spans="1:18">
      <c r="A273" s="24"/>
      <c r="C273" s="318"/>
      <c r="D273" s="24"/>
      <c r="E273" s="24"/>
      <c r="F273" s="24"/>
      <c r="G273" s="24"/>
      <c r="H273" s="24"/>
      <c r="I273" s="24"/>
      <c r="J273" s="24"/>
      <c r="K273" s="24"/>
      <c r="L273" s="24"/>
      <c r="M273" s="24"/>
      <c r="N273" s="24"/>
      <c r="O273" s="24"/>
      <c r="P273" s="24"/>
      <c r="Q273" s="24"/>
      <c r="R273" s="24"/>
    </row>
    <row r="274" spans="1:18">
      <c r="A274" s="24"/>
      <c r="B274" s="24"/>
      <c r="C274" s="346" t="s">
        <v>3096</v>
      </c>
      <c r="D274" s="24"/>
      <c r="E274" s="24"/>
      <c r="F274" s="24"/>
      <c r="G274" s="24"/>
      <c r="H274" s="24"/>
      <c r="I274" s="24"/>
      <c r="J274" s="24"/>
      <c r="K274" s="24"/>
      <c r="L274" s="24"/>
      <c r="M274" s="24"/>
      <c r="N274" s="24"/>
      <c r="O274" s="24"/>
      <c r="P274" s="24"/>
      <c r="Q274" s="24"/>
      <c r="R274" s="24"/>
    </row>
    <row r="275" spans="1:18">
      <c r="A275" s="24"/>
      <c r="B275" s="24"/>
      <c r="C275" s="346" t="s">
        <v>3096</v>
      </c>
      <c r="D275" s="24"/>
      <c r="E275" s="24"/>
      <c r="F275" s="24"/>
      <c r="G275" s="24"/>
      <c r="H275" s="24"/>
      <c r="I275" s="24"/>
      <c r="J275" s="24"/>
      <c r="K275" s="24"/>
      <c r="L275" s="24"/>
      <c r="M275" s="24"/>
      <c r="N275" s="24"/>
      <c r="O275" s="24"/>
      <c r="P275" s="24"/>
      <c r="Q275" s="24"/>
      <c r="R275" s="24"/>
    </row>
    <row r="276" spans="1:18">
      <c r="A276" s="24"/>
      <c r="B276" s="24"/>
      <c r="C276" s="346" t="s">
        <v>3096</v>
      </c>
      <c r="D276" s="24"/>
      <c r="E276" s="24"/>
      <c r="F276" s="24"/>
      <c r="G276" s="24"/>
      <c r="H276" s="24"/>
      <c r="I276" s="24"/>
      <c r="J276" s="24"/>
      <c r="K276" s="24"/>
      <c r="L276" s="24"/>
      <c r="M276" s="24"/>
      <c r="N276" s="24"/>
      <c r="O276" s="24"/>
      <c r="P276" s="24"/>
      <c r="Q276" s="24"/>
      <c r="R276" s="24"/>
    </row>
    <row r="277" spans="1:18">
      <c r="A277" s="24"/>
      <c r="B277" s="24" t="s">
        <v>3112</v>
      </c>
      <c r="C277" s="24"/>
      <c r="D277" s="24"/>
      <c r="E277" s="24"/>
      <c r="F277" s="24"/>
      <c r="G277" s="24"/>
      <c r="H277" s="24"/>
      <c r="I277" s="24"/>
      <c r="J277" s="24"/>
      <c r="K277" s="24"/>
      <c r="L277" s="24"/>
      <c r="M277" s="24"/>
      <c r="N277" s="24"/>
      <c r="O277" s="24"/>
      <c r="P277" s="24"/>
      <c r="Q277" s="24"/>
      <c r="R277" s="24"/>
    </row>
    <row r="278" spans="1:18">
      <c r="A278" s="24"/>
      <c r="B278" s="24"/>
      <c r="C278" s="24"/>
      <c r="D278" s="24"/>
      <c r="E278" s="24"/>
      <c r="F278" s="24"/>
      <c r="G278" s="24"/>
      <c r="H278" s="24"/>
      <c r="I278" s="24"/>
      <c r="J278" s="24"/>
      <c r="K278" s="24"/>
      <c r="L278" s="24"/>
      <c r="M278" s="24"/>
      <c r="N278" s="24"/>
      <c r="O278" s="24"/>
      <c r="P278" s="24"/>
      <c r="Q278" s="24"/>
      <c r="R278" s="24"/>
    </row>
    <row r="279" spans="1:18">
      <c r="A279" s="24"/>
      <c r="B279" s="24" t="s">
        <v>3100</v>
      </c>
      <c r="C279" s="24" t="s">
        <v>3106</v>
      </c>
      <c r="D279" s="24"/>
      <c r="E279" s="24"/>
      <c r="F279" s="24"/>
      <c r="G279" s="24"/>
      <c r="H279" s="24"/>
      <c r="I279" s="24"/>
      <c r="J279" s="24"/>
      <c r="K279" s="24"/>
      <c r="L279" s="24"/>
      <c r="M279" s="24"/>
      <c r="N279" s="24"/>
      <c r="O279" s="24"/>
      <c r="P279" s="24"/>
      <c r="Q279" s="24"/>
      <c r="R279" s="24"/>
    </row>
    <row r="280" spans="1:18">
      <c r="A280" s="24"/>
      <c r="B280" s="24" t="s">
        <v>3101</v>
      </c>
      <c r="C280" s="24" t="s">
        <v>3107</v>
      </c>
      <c r="D280" s="24"/>
      <c r="E280" s="24"/>
      <c r="F280" s="24"/>
      <c r="G280" s="24"/>
      <c r="H280" s="24"/>
      <c r="I280" s="24"/>
      <c r="J280" s="24"/>
      <c r="K280" s="24"/>
      <c r="L280" s="24"/>
      <c r="M280" s="24"/>
      <c r="N280" s="24"/>
      <c r="O280" s="24"/>
      <c r="P280" s="24"/>
      <c r="Q280" s="24"/>
      <c r="R280" s="24"/>
    </row>
    <row r="281" spans="1:18">
      <c r="A281" s="24"/>
      <c r="B281" s="24" t="s">
        <v>3102</v>
      </c>
      <c r="C281" s="24" t="s">
        <v>3108</v>
      </c>
      <c r="D281" s="24"/>
      <c r="E281" s="24"/>
      <c r="F281" s="24"/>
      <c r="G281" s="24"/>
      <c r="H281" s="24"/>
      <c r="I281" s="24"/>
      <c r="J281" s="24"/>
      <c r="K281" s="24"/>
      <c r="L281" s="24"/>
      <c r="M281" s="24"/>
      <c r="N281" s="24"/>
      <c r="O281" s="24"/>
      <c r="P281" s="24"/>
      <c r="Q281" s="24"/>
      <c r="R281" s="24"/>
    </row>
    <row r="282" spans="1:18">
      <c r="A282" s="24"/>
      <c r="B282" s="24"/>
      <c r="C282" s="24"/>
      <c r="D282" s="24"/>
      <c r="E282" s="24"/>
      <c r="F282" s="24"/>
      <c r="G282" s="24"/>
      <c r="H282" s="24"/>
      <c r="I282" s="24"/>
      <c r="J282" s="24"/>
      <c r="K282" s="24"/>
      <c r="L282" s="24"/>
      <c r="M282" s="24"/>
      <c r="N282" s="24"/>
      <c r="O282" s="24"/>
      <c r="P282" s="24"/>
      <c r="Q282" s="24"/>
      <c r="R282" s="24"/>
    </row>
    <row r="283" spans="1:18">
      <c r="A283" s="24"/>
      <c r="B283" s="24" t="s">
        <v>3113</v>
      </c>
      <c r="C283" s="24"/>
      <c r="D283" s="24"/>
      <c r="E283" s="24"/>
      <c r="F283" s="24"/>
      <c r="G283" s="24"/>
      <c r="H283" s="24"/>
      <c r="I283" s="24"/>
      <c r="J283" s="24"/>
      <c r="K283" s="24"/>
      <c r="L283" s="24"/>
      <c r="M283" s="24"/>
      <c r="N283" s="24"/>
      <c r="O283" s="24"/>
      <c r="P283" s="24"/>
      <c r="Q283" s="24"/>
      <c r="R283" s="24"/>
    </row>
    <row r="284" spans="1:18">
      <c r="A284" s="24"/>
      <c r="C284" s="24"/>
      <c r="D284" s="24"/>
      <c r="E284" s="24"/>
      <c r="F284" s="24"/>
      <c r="G284" s="24"/>
      <c r="H284" s="24"/>
      <c r="I284" s="24"/>
      <c r="J284" s="24"/>
      <c r="K284" s="24"/>
      <c r="L284" s="24"/>
      <c r="M284" s="24"/>
      <c r="N284" s="24"/>
      <c r="O284" s="24"/>
      <c r="P284" s="24"/>
      <c r="Q284" s="24"/>
      <c r="R284" s="24"/>
    </row>
    <row r="285" spans="1:18">
      <c r="B285" s="24" t="s">
        <v>3103</v>
      </c>
      <c r="C285" s="24"/>
      <c r="D285" s="24"/>
      <c r="E285" s="24"/>
      <c r="F285" s="24"/>
      <c r="G285" s="24"/>
      <c r="H285" s="24"/>
      <c r="I285" s="24"/>
      <c r="J285" s="24"/>
      <c r="K285" s="24"/>
      <c r="L285" s="24"/>
      <c r="M285" s="24"/>
      <c r="N285" s="24"/>
      <c r="O285" s="24"/>
      <c r="P285" s="24"/>
      <c r="Q285" s="24"/>
      <c r="R285" s="24"/>
    </row>
    <row r="286" spans="1:18">
      <c r="B286" s="24" t="s">
        <v>3117</v>
      </c>
      <c r="C286" s="24"/>
      <c r="D286" s="24"/>
      <c r="E286" s="24"/>
      <c r="F286" s="24"/>
      <c r="G286" s="24"/>
      <c r="H286" s="24"/>
      <c r="I286" s="24"/>
      <c r="J286" s="24"/>
      <c r="K286" s="24"/>
      <c r="L286" s="24"/>
      <c r="M286" s="24"/>
      <c r="N286" s="24"/>
      <c r="O286" s="24"/>
      <c r="P286" s="24"/>
      <c r="Q286" s="24"/>
      <c r="R286" s="24"/>
    </row>
    <row r="287" spans="1:18">
      <c r="B287" s="24" t="s">
        <v>3118</v>
      </c>
      <c r="C287" s="24"/>
      <c r="D287" s="24"/>
      <c r="E287" s="24"/>
      <c r="F287" s="24"/>
      <c r="G287" s="24"/>
      <c r="H287" s="24"/>
      <c r="I287" s="24"/>
      <c r="J287" s="24"/>
      <c r="K287" s="24"/>
      <c r="L287" s="24"/>
      <c r="M287" s="24"/>
      <c r="N287" s="24"/>
      <c r="O287" s="24"/>
      <c r="P287" s="24"/>
      <c r="Q287" s="24"/>
      <c r="R287" s="24"/>
    </row>
    <row r="288" spans="1:18">
      <c r="B288" s="24" t="s">
        <v>3119</v>
      </c>
      <c r="C288" s="24"/>
      <c r="D288" s="24"/>
      <c r="E288" s="24"/>
      <c r="F288" s="24"/>
      <c r="G288" s="24"/>
      <c r="H288" s="24"/>
      <c r="I288" s="24"/>
      <c r="J288" s="24"/>
      <c r="K288" s="24"/>
      <c r="L288" s="24"/>
      <c r="M288" s="24"/>
      <c r="N288" s="24"/>
      <c r="O288" s="24"/>
      <c r="P288" s="24"/>
      <c r="Q288" s="24"/>
      <c r="R288" s="24"/>
    </row>
    <row r="289" spans="2:18">
      <c r="B289" s="24" t="s">
        <v>3104</v>
      </c>
      <c r="C289" s="24"/>
      <c r="D289" s="24"/>
      <c r="E289" s="24"/>
      <c r="F289" s="24"/>
      <c r="G289" s="24"/>
      <c r="H289" s="24"/>
      <c r="I289" s="24"/>
      <c r="J289" s="24"/>
      <c r="K289" s="24"/>
      <c r="L289" s="24"/>
      <c r="M289" s="24"/>
      <c r="N289" s="24"/>
      <c r="O289" s="24"/>
      <c r="P289" s="24"/>
      <c r="Q289" s="24"/>
      <c r="R289" s="24"/>
    </row>
    <row r="290" spans="2:18">
      <c r="B290" s="24" t="s">
        <v>3105</v>
      </c>
      <c r="C290" s="24"/>
      <c r="D290" s="24"/>
      <c r="E290" s="24"/>
      <c r="F290" s="24"/>
      <c r="G290" s="24"/>
      <c r="H290" s="24"/>
      <c r="I290" s="24"/>
      <c r="J290" s="24"/>
      <c r="K290" s="24"/>
      <c r="L290" s="24"/>
      <c r="M290" s="24"/>
      <c r="N290" s="24"/>
      <c r="O290" s="24"/>
      <c r="P290" s="24"/>
      <c r="Q290" s="24"/>
      <c r="R290" s="24"/>
    </row>
    <row r="291" spans="2:18">
      <c r="B291" s="24"/>
      <c r="C291" s="24"/>
      <c r="D291" s="24"/>
      <c r="E291" s="24"/>
      <c r="F291" s="24"/>
      <c r="G291" s="24"/>
      <c r="H291" s="24"/>
      <c r="I291" s="24"/>
      <c r="J291" s="24"/>
      <c r="K291" s="24"/>
      <c r="L291" s="24"/>
      <c r="M291" s="24"/>
      <c r="N291" s="24"/>
      <c r="O291" s="24"/>
      <c r="P291" s="24"/>
      <c r="Q291" s="24"/>
      <c r="R291" s="24"/>
    </row>
    <row r="292" spans="2:18">
      <c r="B292" s="24" t="s">
        <v>3109</v>
      </c>
      <c r="C292" s="24"/>
      <c r="D292" s="24"/>
      <c r="E292" s="24"/>
      <c r="F292" s="24"/>
      <c r="G292" s="24"/>
      <c r="H292" s="24"/>
      <c r="I292" s="24"/>
      <c r="J292" s="24"/>
      <c r="K292" s="24"/>
      <c r="L292" s="24"/>
      <c r="M292" s="24"/>
      <c r="N292" s="24"/>
      <c r="O292" s="24"/>
      <c r="P292" s="24"/>
      <c r="Q292" s="24"/>
      <c r="R292" s="24"/>
    </row>
    <row r="293" spans="2:18">
      <c r="B293" s="24"/>
      <c r="C293" s="24"/>
      <c r="D293" s="24"/>
      <c r="E293" s="24"/>
      <c r="F293" s="24"/>
      <c r="G293" s="24"/>
      <c r="H293" s="24"/>
      <c r="I293" s="24"/>
      <c r="J293" s="24"/>
      <c r="K293" s="24"/>
      <c r="L293" s="24"/>
      <c r="M293" s="24"/>
      <c r="N293" s="24"/>
      <c r="O293" s="24"/>
      <c r="P293" s="24"/>
      <c r="Q293" s="24"/>
      <c r="R293" s="24"/>
    </row>
    <row r="294" spans="2:18">
      <c r="B294" s="24" t="s">
        <v>3097</v>
      </c>
      <c r="C294" s="24"/>
      <c r="D294" s="24"/>
      <c r="E294" s="24"/>
      <c r="F294" s="24"/>
      <c r="G294" s="24"/>
      <c r="H294" s="24"/>
      <c r="I294" s="24"/>
      <c r="J294" s="24"/>
      <c r="K294" s="24"/>
      <c r="L294" s="24"/>
      <c r="M294" s="24"/>
      <c r="N294" s="24"/>
      <c r="O294" s="24"/>
      <c r="P294" s="24"/>
      <c r="Q294" s="24"/>
      <c r="R294" s="24"/>
    </row>
    <row r="295" spans="2:18">
      <c r="B295" s="24" t="s">
        <v>3098</v>
      </c>
      <c r="C295" s="24"/>
      <c r="D295" s="24"/>
      <c r="E295" s="24"/>
      <c r="F295" s="24"/>
      <c r="G295" s="24"/>
      <c r="H295" s="24"/>
      <c r="I295" s="24"/>
      <c r="J295" s="24"/>
      <c r="K295" s="24"/>
      <c r="L295" s="24"/>
      <c r="M295" s="24"/>
      <c r="N295" s="24"/>
      <c r="O295" s="24"/>
      <c r="P295" s="24"/>
      <c r="Q295" s="24"/>
      <c r="R295" s="24"/>
    </row>
    <row r="296" spans="2:18">
      <c r="B296" s="24" t="s">
        <v>3099</v>
      </c>
      <c r="C296" s="24"/>
      <c r="D296" s="24"/>
      <c r="E296" s="24"/>
      <c r="F296" s="24"/>
      <c r="G296" s="24"/>
      <c r="H296" s="24"/>
      <c r="I296" s="24"/>
      <c r="J296" s="24"/>
      <c r="K296" s="24"/>
      <c r="L296" s="24"/>
      <c r="M296" s="24"/>
      <c r="N296" s="24"/>
      <c r="O296" s="24"/>
      <c r="P296" s="24"/>
      <c r="Q296" s="24"/>
      <c r="R296" s="24"/>
    </row>
    <row r="305" spans="3:10">
      <c r="C305" s="1"/>
      <c r="D305" s="1"/>
      <c r="E305" s="1"/>
      <c r="F305" s="1"/>
      <c r="G305" s="1"/>
      <c r="H305" s="1"/>
      <c r="I305" s="1"/>
      <c r="J305" s="1"/>
    </row>
    <row r="306" spans="3:10">
      <c r="C306" s="1" t="s">
        <v>3120</v>
      </c>
      <c r="D306" s="1"/>
      <c r="E306" s="1"/>
      <c r="F306" s="1"/>
      <c r="G306" s="1"/>
      <c r="H306" s="1"/>
      <c r="I306" s="1"/>
      <c r="J306" s="1"/>
    </row>
    <row r="307" spans="3:10">
      <c r="C307" s="1" t="s">
        <v>3121</v>
      </c>
      <c r="D307" s="1"/>
      <c r="E307" s="1"/>
      <c r="F307" s="1"/>
      <c r="G307" s="1"/>
      <c r="H307" s="1"/>
      <c r="I307" s="1"/>
      <c r="J307" s="1"/>
    </row>
    <row r="308" spans="3:10">
      <c r="C308" s="1" t="s">
        <v>3122</v>
      </c>
      <c r="D308" s="1"/>
      <c r="E308" s="1"/>
      <c r="F308" s="1"/>
      <c r="G308" s="1"/>
      <c r="H308" s="1"/>
      <c r="I308" s="1"/>
      <c r="J308" s="1"/>
    </row>
    <row r="309" spans="3:10">
      <c r="C309" s="3" t="s">
        <v>3123</v>
      </c>
      <c r="D309" s="1"/>
      <c r="E309" s="1"/>
      <c r="F309" s="1"/>
      <c r="G309" s="1"/>
      <c r="H309" s="1"/>
      <c r="I309" s="1"/>
      <c r="J309" s="1"/>
    </row>
    <row r="310" spans="3:10">
      <c r="C310" s="1" t="s">
        <v>3124</v>
      </c>
      <c r="D310" s="1"/>
      <c r="E310" s="1"/>
      <c r="F310" s="1"/>
      <c r="G310" s="1"/>
      <c r="H310" s="1"/>
      <c r="I310" s="1"/>
      <c r="J310" s="1"/>
    </row>
    <row r="311" spans="3:10">
      <c r="C311" s="1"/>
      <c r="D311" s="1"/>
      <c r="E311" s="1"/>
      <c r="F311" s="1"/>
      <c r="G311" s="1"/>
      <c r="H311" s="1"/>
      <c r="I311" s="1"/>
      <c r="J311" s="1"/>
    </row>
    <row r="312" spans="3:10">
      <c r="C312" s="24"/>
      <c r="D312" s="24"/>
      <c r="E312" s="24"/>
      <c r="F312" s="24"/>
      <c r="G312" s="24"/>
      <c r="H312" s="24"/>
      <c r="I312" s="24"/>
      <c r="J312" s="24"/>
    </row>
    <row r="313" spans="3:10">
      <c r="C313" s="24" t="s">
        <v>924</v>
      </c>
      <c r="D313" s="24"/>
      <c r="E313" s="24"/>
      <c r="F313" s="24"/>
      <c r="G313" s="24"/>
      <c r="H313" s="24"/>
      <c r="I313" s="24"/>
      <c r="J313" s="24"/>
    </row>
    <row r="314" spans="3:10" ht="13.5" thickBot="1">
      <c r="C314" s="24"/>
      <c r="D314" s="24"/>
      <c r="E314" s="24"/>
      <c r="F314" s="24"/>
      <c r="G314" s="24"/>
      <c r="H314" s="24"/>
      <c r="I314" s="24"/>
      <c r="J314" s="24"/>
    </row>
    <row r="315" spans="3:10">
      <c r="D315" s="996" t="s">
        <v>3125</v>
      </c>
      <c r="E315" s="306" t="s">
        <v>3126</v>
      </c>
      <c r="F315" s="996" t="s">
        <v>3127</v>
      </c>
      <c r="G315" s="306" t="s">
        <v>3128</v>
      </c>
      <c r="H315" s="24"/>
      <c r="I315" s="24"/>
      <c r="J315" s="24"/>
    </row>
    <row r="316" spans="3:10">
      <c r="D316" s="310"/>
      <c r="E316" s="309"/>
      <c r="F316" s="310"/>
      <c r="G316" s="309"/>
      <c r="H316" s="24"/>
      <c r="I316" s="24"/>
      <c r="J316" s="24"/>
    </row>
    <row r="317" spans="3:10">
      <c r="C317" t="s">
        <v>2780</v>
      </c>
      <c r="D317" s="1050">
        <v>120</v>
      </c>
      <c r="E317" s="1051">
        <v>120</v>
      </c>
      <c r="F317" s="1050">
        <v>120</v>
      </c>
      <c r="G317" s="1051">
        <v>120</v>
      </c>
      <c r="H317" s="24"/>
      <c r="I317" s="24"/>
      <c r="J317" s="24"/>
    </row>
    <row r="318" spans="3:10">
      <c r="C318" t="s">
        <v>3129</v>
      </c>
      <c r="D318" s="1050">
        <v>300</v>
      </c>
      <c r="E318" s="1051">
        <v>600</v>
      </c>
      <c r="F318" s="1050">
        <v>800</v>
      </c>
      <c r="G318" s="1051">
        <v>1100</v>
      </c>
      <c r="H318" s="24"/>
      <c r="I318" s="24"/>
      <c r="J318" s="24"/>
    </row>
    <row r="319" spans="3:10">
      <c r="C319" t="s">
        <v>2747</v>
      </c>
      <c r="D319" s="1050">
        <v>8</v>
      </c>
      <c r="E319" s="1051">
        <v>8</v>
      </c>
      <c r="F319" s="1050">
        <v>8</v>
      </c>
      <c r="G319" s="1051">
        <v>8</v>
      </c>
      <c r="H319" s="24"/>
      <c r="I319" s="24"/>
      <c r="J319" s="24"/>
    </row>
    <row r="320" spans="3:10">
      <c r="D320" s="310"/>
      <c r="E320" s="309"/>
      <c r="F320" s="310"/>
      <c r="G320" s="309"/>
      <c r="H320" s="24"/>
      <c r="I320" s="24"/>
      <c r="J320" s="24"/>
    </row>
    <row r="321" spans="3:10">
      <c r="C321" t="s">
        <v>2680</v>
      </c>
      <c r="D321" s="1002">
        <f>D318/D319</f>
        <v>37.5</v>
      </c>
      <c r="E321" s="1052">
        <f>E318/E319</f>
        <v>75</v>
      </c>
      <c r="F321" s="1002">
        <f>F318/F319</f>
        <v>100</v>
      </c>
      <c r="G321" s="1052">
        <f>G318/G319</f>
        <v>137.5</v>
      </c>
      <c r="H321" s="24"/>
      <c r="I321" s="24"/>
      <c r="J321" s="24"/>
    </row>
    <row r="322" spans="3:10">
      <c r="C322" t="s">
        <v>2486</v>
      </c>
      <c r="D322" s="1053">
        <f>1/(D321-1)</f>
        <v>2.7397260273972601E-2</v>
      </c>
      <c r="E322" s="1054">
        <f>1/(E321-1)</f>
        <v>1.3513513513513514E-2</v>
      </c>
      <c r="F322" s="1053">
        <f>1/(F321-1)</f>
        <v>1.0101010101010102E-2</v>
      </c>
      <c r="G322" s="1054">
        <f>1/(G321-1)</f>
        <v>7.326007326007326E-3</v>
      </c>
      <c r="H322" s="24"/>
      <c r="I322" s="24"/>
      <c r="J322" s="24"/>
    </row>
    <row r="323" spans="3:10">
      <c r="C323" t="s">
        <v>3130</v>
      </c>
      <c r="D323" s="1002">
        <f>1/D322</f>
        <v>36.5</v>
      </c>
      <c r="E323" s="1052">
        <f>1/E322</f>
        <v>74</v>
      </c>
      <c r="F323" s="1002">
        <f>1/F322</f>
        <v>98.999999999999986</v>
      </c>
      <c r="G323" s="1052">
        <f>1/G322</f>
        <v>136.5</v>
      </c>
      <c r="H323" s="24"/>
      <c r="I323" s="24"/>
      <c r="J323" s="24"/>
    </row>
    <row r="324" spans="3:10">
      <c r="C324" t="s">
        <v>526</v>
      </c>
      <c r="D324" s="1055">
        <f>D317*D322</f>
        <v>3.2876712328767121</v>
      </c>
      <c r="E324" s="1056">
        <f>E317*E322</f>
        <v>1.6216216216216217</v>
      </c>
      <c r="F324" s="1055">
        <f>F317*F322</f>
        <v>1.2121212121212122</v>
      </c>
      <c r="G324" s="1056">
        <f>G317*G322</f>
        <v>0.87912087912087911</v>
      </c>
      <c r="H324" s="24"/>
      <c r="I324" s="24"/>
      <c r="J324" s="24"/>
    </row>
    <row r="325" spans="3:10">
      <c r="D325" s="1002"/>
      <c r="E325" s="1052"/>
      <c r="F325" s="1002"/>
      <c r="G325" s="1052"/>
      <c r="H325" s="24"/>
      <c r="I325" s="24"/>
      <c r="J325" s="24"/>
    </row>
    <row r="326" spans="3:10">
      <c r="C326" t="s">
        <v>3131</v>
      </c>
      <c r="D326" s="1663">
        <f>D324/E324</f>
        <v>2.0273972602739723</v>
      </c>
      <c r="E326" s="1664"/>
      <c r="F326" s="1663">
        <f>F324/G324</f>
        <v>1.3787878787878789</v>
      </c>
      <c r="G326" s="1664"/>
      <c r="H326" s="24"/>
      <c r="I326" s="24"/>
      <c r="J326" s="24"/>
    </row>
    <row r="327" spans="3:10">
      <c r="D327" s="1002"/>
      <c r="E327" s="1052"/>
      <c r="F327" s="1002"/>
      <c r="G327" s="1052"/>
      <c r="H327" s="24"/>
      <c r="I327" s="24"/>
      <c r="J327" s="24"/>
    </row>
    <row r="328" spans="3:10">
      <c r="D328" s="1002"/>
      <c r="E328" s="1052"/>
      <c r="F328" s="1002"/>
      <c r="G328" s="1052"/>
      <c r="H328" s="24"/>
      <c r="I328" s="24"/>
      <c r="J328" s="24"/>
    </row>
    <row r="329" spans="3:10">
      <c r="D329" s="1002"/>
      <c r="E329" s="1052"/>
      <c r="F329" s="1002"/>
      <c r="G329" s="1052"/>
      <c r="H329" s="24"/>
      <c r="I329" s="24"/>
      <c r="J329" s="24"/>
    </row>
    <row r="330" spans="3:10" ht="13.5" thickBot="1">
      <c r="D330" s="1057"/>
      <c r="E330" s="313"/>
      <c r="F330" s="1057"/>
      <c r="G330" s="313"/>
      <c r="H330" s="24"/>
      <c r="I330" s="24"/>
      <c r="J330" s="24"/>
    </row>
    <row r="331" spans="3:10">
      <c r="C331" s="24"/>
      <c r="D331" s="24"/>
      <c r="E331" s="24"/>
      <c r="F331" s="24"/>
      <c r="G331" s="24"/>
      <c r="H331" s="24"/>
      <c r="I331" s="24"/>
      <c r="J331" s="24"/>
    </row>
    <row r="332" spans="3:10">
      <c r="C332" s="24" t="str">
        <f>"Bei großer Entfernung zu den beiden Gegenständen ist das Größenverhältnis der beiden Bildteile "&amp;ROUND(F326,2)&amp;" zu 1"</f>
        <v>Bei großer Entfernung zu den beiden Gegenständen ist das Größenverhältnis der beiden Bildteile 1,38 zu 1</v>
      </c>
      <c r="D332" s="24"/>
      <c r="E332" s="24"/>
      <c r="F332" s="24"/>
      <c r="G332" s="24"/>
      <c r="H332" s="24"/>
      <c r="I332" s="24"/>
      <c r="J332" s="24"/>
    </row>
    <row r="333" spans="3:10">
      <c r="C333" s="24" t="str">
        <f>"Bei geringer Entfernung zu den beiden Gegenständen ist das Größenverhältnis der beiden Bildteile "&amp;ROUND(D326,2)&amp;" zu 1"</f>
        <v>Bei geringer Entfernung zu den beiden Gegenständen ist das Größenverhältnis der beiden Bildteile 2,03 zu 1</v>
      </c>
      <c r="D333" s="24"/>
      <c r="E333" s="24"/>
      <c r="F333" s="24"/>
      <c r="G333" s="24"/>
      <c r="H333" s="24"/>
      <c r="I333" s="24"/>
      <c r="J333" s="24"/>
    </row>
    <row r="334" spans="3:10">
      <c r="C334" s="24"/>
      <c r="D334" s="24"/>
      <c r="E334" s="24"/>
      <c r="F334" s="24"/>
      <c r="G334" s="24"/>
      <c r="H334" s="24"/>
      <c r="I334" s="24"/>
      <c r="J334" s="24"/>
    </row>
    <row r="335" spans="3:10">
      <c r="C335" s="24"/>
      <c r="D335" s="24"/>
      <c r="E335" s="24"/>
      <c r="F335" s="24"/>
      <c r="G335" s="24"/>
      <c r="H335" s="24"/>
      <c r="I335" s="24"/>
      <c r="J335" s="24"/>
    </row>
    <row r="336" spans="3:10">
      <c r="C336" s="1"/>
      <c r="D336" s="1"/>
      <c r="E336" s="1"/>
      <c r="F336" s="1"/>
      <c r="G336" s="1"/>
      <c r="H336" s="24"/>
      <c r="I336" s="24"/>
      <c r="J336" s="24"/>
    </row>
    <row r="337" spans="3:10">
      <c r="C337" s="1" t="s">
        <v>3132</v>
      </c>
      <c r="D337" s="1"/>
      <c r="E337" s="1"/>
      <c r="F337" s="1"/>
      <c r="G337" s="1"/>
      <c r="H337" s="24"/>
      <c r="I337" s="24"/>
      <c r="J337" s="24"/>
    </row>
    <row r="338" spans="3:10">
      <c r="C338" s="1" t="s">
        <v>3121</v>
      </c>
      <c r="D338" s="1"/>
      <c r="E338" s="1"/>
      <c r="F338" s="1"/>
      <c r="G338" s="1"/>
      <c r="H338" s="24"/>
      <c r="I338" s="24"/>
      <c r="J338" s="24"/>
    </row>
    <row r="339" spans="3:10">
      <c r="C339" s="3" t="s">
        <v>3133</v>
      </c>
      <c r="D339" s="1"/>
      <c r="E339" s="1"/>
      <c r="F339" s="1"/>
      <c r="G339" s="1"/>
      <c r="H339" s="24"/>
      <c r="I339" s="24"/>
      <c r="J339" s="24"/>
    </row>
    <row r="340" spans="3:10">
      <c r="C340" s="1" t="s">
        <v>3134</v>
      </c>
      <c r="D340" s="1"/>
      <c r="E340" s="1"/>
      <c r="F340" s="1"/>
      <c r="G340" s="1"/>
      <c r="H340" s="24"/>
      <c r="I340" s="24"/>
      <c r="J340" s="24"/>
    </row>
    <row r="341" spans="3:10">
      <c r="C341" s="3" t="s">
        <v>3135</v>
      </c>
      <c r="D341" s="1"/>
      <c r="E341" s="1"/>
      <c r="F341" s="1"/>
      <c r="G341" s="1"/>
      <c r="H341" s="24"/>
      <c r="I341" s="24"/>
      <c r="J341" s="24"/>
    </row>
    <row r="342" spans="3:10">
      <c r="C342" s="1"/>
      <c r="D342" s="1"/>
      <c r="E342" s="1"/>
      <c r="F342" s="1"/>
      <c r="G342" s="1"/>
      <c r="H342" s="24"/>
      <c r="I342" s="24"/>
      <c r="J342" s="24"/>
    </row>
    <row r="343" spans="3:10">
      <c r="C343" s="1"/>
      <c r="D343" s="1"/>
      <c r="E343" s="1"/>
      <c r="F343" s="1"/>
      <c r="G343" s="1"/>
      <c r="H343" s="24"/>
      <c r="I343" s="24"/>
      <c r="J343" s="24"/>
    </row>
    <row r="344" spans="3:10">
      <c r="C344" s="326" t="s">
        <v>924</v>
      </c>
      <c r="D344" s="326"/>
      <c r="E344" s="1"/>
      <c r="F344" s="1"/>
      <c r="G344" s="1"/>
      <c r="H344" s="24"/>
      <c r="I344" s="24"/>
      <c r="J344" s="24"/>
    </row>
    <row r="345" spans="3:10" ht="13.5" thickBot="1">
      <c r="H345" s="24"/>
      <c r="I345" s="24"/>
      <c r="J345" s="24"/>
    </row>
    <row r="346" spans="3:10">
      <c r="D346" s="996" t="s">
        <v>3125</v>
      </c>
      <c r="E346" s="306" t="s">
        <v>3126</v>
      </c>
      <c r="F346" s="996" t="s">
        <v>3127</v>
      </c>
      <c r="G346" s="306" t="s">
        <v>3128</v>
      </c>
      <c r="H346" s="24"/>
      <c r="I346" s="24"/>
      <c r="J346" s="24"/>
    </row>
    <row r="347" spans="3:10">
      <c r="D347" s="310"/>
      <c r="E347" s="309"/>
      <c r="F347" s="310"/>
      <c r="G347" s="309"/>
      <c r="H347" s="24"/>
      <c r="I347" s="24"/>
      <c r="J347" s="24"/>
    </row>
    <row r="348" spans="3:10">
      <c r="C348" t="s">
        <v>2780</v>
      </c>
      <c r="D348" s="1050">
        <v>120</v>
      </c>
      <c r="E348" s="1051">
        <v>120</v>
      </c>
      <c r="F348" s="1050">
        <v>120</v>
      </c>
      <c r="G348" s="1051">
        <v>120</v>
      </c>
      <c r="H348" s="24"/>
      <c r="I348" s="24"/>
      <c r="J348" s="24"/>
    </row>
    <row r="349" spans="3:10">
      <c r="C349" t="s">
        <v>3129</v>
      </c>
      <c r="D349" s="1050">
        <v>800</v>
      </c>
      <c r="E349" s="1051">
        <v>1100</v>
      </c>
      <c r="F349" s="1050">
        <v>800</v>
      </c>
      <c r="G349" s="1051">
        <v>1100</v>
      </c>
      <c r="H349" s="24"/>
      <c r="I349" s="24"/>
      <c r="J349" s="24"/>
    </row>
    <row r="350" spans="3:10">
      <c r="C350" t="s">
        <v>2747</v>
      </c>
      <c r="D350" s="1050">
        <v>8</v>
      </c>
      <c r="E350" s="1051">
        <v>8</v>
      </c>
      <c r="F350" s="1050">
        <v>20</v>
      </c>
      <c r="G350" s="1051">
        <v>20</v>
      </c>
      <c r="H350" s="24"/>
      <c r="I350" s="24"/>
      <c r="J350" s="24"/>
    </row>
    <row r="351" spans="3:10">
      <c r="D351" s="310"/>
      <c r="E351" s="309"/>
      <c r="F351" s="310"/>
      <c r="G351" s="309"/>
      <c r="H351" s="24"/>
      <c r="I351" s="24"/>
      <c r="J351" s="24"/>
    </row>
    <row r="352" spans="3:10">
      <c r="C352" t="s">
        <v>2680</v>
      </c>
      <c r="D352" s="1002">
        <f>D349/D350</f>
        <v>100</v>
      </c>
      <c r="E352" s="1052">
        <f>E349/E350</f>
        <v>137.5</v>
      </c>
      <c r="F352" s="1002">
        <f>F349/F350</f>
        <v>40</v>
      </c>
      <c r="G352" s="1052">
        <f>G349/G350</f>
        <v>55</v>
      </c>
      <c r="H352" s="24"/>
      <c r="I352" s="24"/>
      <c r="J352" s="24"/>
    </row>
    <row r="353" spans="3:10">
      <c r="C353" t="s">
        <v>2486</v>
      </c>
      <c r="D353" s="1053">
        <f>1/(D352-1)</f>
        <v>1.0101010101010102E-2</v>
      </c>
      <c r="E353" s="1054">
        <f>1/(E352-1)</f>
        <v>7.326007326007326E-3</v>
      </c>
      <c r="F353" s="1053">
        <f>1/(F352-1)</f>
        <v>2.564102564102564E-2</v>
      </c>
      <c r="G353" s="1054">
        <f>1/(G352-1)</f>
        <v>1.8518518518518517E-2</v>
      </c>
      <c r="H353" s="24"/>
      <c r="I353" s="24"/>
      <c r="J353" s="24"/>
    </row>
    <row r="354" spans="3:10">
      <c r="C354" t="s">
        <v>3130</v>
      </c>
      <c r="D354" s="1002">
        <f>1/D353</f>
        <v>98.999999999999986</v>
      </c>
      <c r="E354" s="1052">
        <f>1/E353</f>
        <v>136.5</v>
      </c>
      <c r="F354" s="1002">
        <f>1/F353</f>
        <v>39</v>
      </c>
      <c r="G354" s="1052">
        <f>1/G353</f>
        <v>54</v>
      </c>
      <c r="H354" s="24"/>
      <c r="I354" s="24"/>
      <c r="J354" s="24"/>
    </row>
    <row r="355" spans="3:10">
      <c r="C355" t="s">
        <v>526</v>
      </c>
      <c r="D355" s="1055">
        <f>D348*D353</f>
        <v>1.2121212121212122</v>
      </c>
      <c r="E355" s="1056">
        <f>E348*E353</f>
        <v>0.87912087912087911</v>
      </c>
      <c r="F355" s="1055">
        <f>F348*F353</f>
        <v>3.0769230769230766</v>
      </c>
      <c r="G355" s="1056">
        <f>G348*G353</f>
        <v>2.2222222222222223</v>
      </c>
      <c r="H355" s="24"/>
      <c r="I355" s="24"/>
      <c r="J355" s="24"/>
    </row>
    <row r="356" spans="3:10">
      <c r="D356" s="1002"/>
      <c r="E356" s="1052"/>
      <c r="F356" s="1002"/>
      <c r="G356" s="1052"/>
      <c r="H356" s="24"/>
      <c r="I356" s="24"/>
      <c r="J356" s="24"/>
    </row>
    <row r="357" spans="3:10">
      <c r="C357" t="s">
        <v>3131</v>
      </c>
      <c r="D357" s="1663">
        <f>D355/E355</f>
        <v>1.3787878787878789</v>
      </c>
      <c r="E357" s="1664"/>
      <c r="F357" s="1663">
        <f>F355/G355</f>
        <v>1.3846153846153844</v>
      </c>
      <c r="G357" s="1664"/>
      <c r="H357" s="24"/>
      <c r="I357" s="24"/>
      <c r="J357" s="24"/>
    </row>
    <row r="358" spans="3:10">
      <c r="D358" s="1002"/>
      <c r="E358" s="1052"/>
      <c r="F358" s="1002"/>
      <c r="G358" s="1052"/>
      <c r="H358" s="24"/>
      <c r="I358" s="24"/>
      <c r="J358" s="24"/>
    </row>
    <row r="359" spans="3:10">
      <c r="D359" s="1002"/>
      <c r="E359" s="1052"/>
      <c r="F359" s="1002"/>
      <c r="G359" s="1052"/>
      <c r="H359" s="24"/>
      <c r="I359" s="24"/>
      <c r="J359" s="24"/>
    </row>
    <row r="360" spans="3:10">
      <c r="D360" s="1002"/>
      <c r="E360" s="1052"/>
      <c r="F360" s="1002"/>
      <c r="G360" s="1052"/>
      <c r="H360" s="24"/>
      <c r="I360" s="24"/>
      <c r="J360" s="24"/>
    </row>
    <row r="361" spans="3:10" ht="13.5" thickBot="1">
      <c r="D361" s="1057"/>
      <c r="E361" s="313"/>
      <c r="F361" s="1057"/>
      <c r="G361" s="313"/>
      <c r="H361" s="24"/>
      <c r="I361" s="24"/>
      <c r="J361" s="24"/>
    </row>
    <row r="362" spans="3:10">
      <c r="C362" s="24"/>
      <c r="D362" s="24"/>
      <c r="E362" s="24"/>
      <c r="F362" s="24"/>
      <c r="G362" s="24"/>
      <c r="H362" s="24"/>
      <c r="I362" s="24"/>
      <c r="J362" s="24"/>
    </row>
    <row r="363" spans="3:10">
      <c r="C363" s="24" t="str">
        <f>"Bei langer Brennweite ist das Größenverhältnis der beiden Bildteile "&amp;ROUND(F357,3)&amp;" zu 1"</f>
        <v>Bei langer Brennweite ist das Größenverhältnis der beiden Bildteile 1,385 zu 1</v>
      </c>
      <c r="D363" s="24"/>
      <c r="E363" s="24"/>
      <c r="F363" s="24"/>
      <c r="G363" s="24"/>
      <c r="H363" s="24"/>
      <c r="I363" s="24"/>
      <c r="J363" s="24"/>
    </row>
    <row r="364" spans="3:10">
      <c r="C364" s="24" t="str">
        <f>"Bei kurzer Brennweite ist das Größenverhältnis der beiden Bildteile "&amp;ROUND(D357,3)&amp;" zu 1"</f>
        <v>Bei kurzer Brennweite ist das Größenverhältnis der beiden Bildteile 1,379 zu 1</v>
      </c>
      <c r="D364" s="24"/>
      <c r="E364" s="24"/>
      <c r="F364" s="24"/>
      <c r="G364" s="24"/>
      <c r="H364" s="24"/>
      <c r="I364" s="24"/>
      <c r="J364" s="24"/>
    </row>
    <row r="365" spans="3:10">
      <c r="C365" s="24" t="s">
        <v>3136</v>
      </c>
      <c r="D365" s="24"/>
      <c r="E365" s="24"/>
      <c r="F365" s="24"/>
      <c r="G365" s="24"/>
      <c r="H365" s="24"/>
      <c r="I365" s="24"/>
      <c r="J365" s="24"/>
    </row>
    <row r="375" spans="3:13">
      <c r="C375" t="s">
        <v>3137</v>
      </c>
    </row>
    <row r="376" spans="3:13">
      <c r="C376" t="s">
        <v>3138</v>
      </c>
    </row>
    <row r="378" spans="3:13">
      <c r="C378" s="496" t="s">
        <v>3139</v>
      </c>
      <c r="D378" s="319" t="s">
        <v>389</v>
      </c>
      <c r="E378" s="319"/>
      <c r="F378" s="319" t="s">
        <v>391</v>
      </c>
      <c r="I378" s="496" t="s">
        <v>3140</v>
      </c>
      <c r="J378" s="319" t="s">
        <v>396</v>
      </c>
      <c r="K378" s="319"/>
      <c r="L378" s="319" t="s">
        <v>3141</v>
      </c>
    </row>
    <row r="379" spans="3:13" ht="13.5" thickBot="1">
      <c r="E379" s="318"/>
    </row>
    <row r="380" spans="3:13" ht="13.5" thickBot="1">
      <c r="C380" s="1058" t="s">
        <v>3142</v>
      </c>
      <c r="D380" s="1059">
        <v>2000</v>
      </c>
      <c r="E380" s="953"/>
      <c r="F380" s="1059">
        <v>5000</v>
      </c>
      <c r="I380" t="s">
        <v>3142</v>
      </c>
      <c r="J380" s="1060">
        <v>20000</v>
      </c>
      <c r="L380" s="1060">
        <v>20000</v>
      </c>
      <c r="M380" s="32"/>
    </row>
    <row r="381" spans="3:13">
      <c r="C381" s="56" t="s">
        <v>3143</v>
      </c>
      <c r="D381" s="326">
        <v>2000</v>
      </c>
      <c r="F381" s="32">
        <f>D381</f>
        <v>2000</v>
      </c>
      <c r="I381" t="s">
        <v>3144</v>
      </c>
      <c r="J381" s="32">
        <f>D381</f>
        <v>2000</v>
      </c>
      <c r="L381" s="32">
        <f>D381</f>
        <v>2000</v>
      </c>
      <c r="M381" s="32"/>
    </row>
    <row r="382" spans="3:13">
      <c r="C382" s="56" t="s">
        <v>1318</v>
      </c>
      <c r="D382" s="326">
        <v>100</v>
      </c>
      <c r="F382" s="32">
        <f>D382</f>
        <v>100</v>
      </c>
      <c r="I382" s="1061" t="s">
        <v>1318</v>
      </c>
      <c r="J382" s="1062">
        <v>100</v>
      </c>
      <c r="L382" s="1063">
        <v>300</v>
      </c>
      <c r="M382" s="1063"/>
    </row>
    <row r="383" spans="3:13">
      <c r="C383" s="56" t="s">
        <v>3145</v>
      </c>
      <c r="D383" s="326">
        <v>1500</v>
      </c>
      <c r="F383" s="32">
        <f>D383</f>
        <v>1500</v>
      </c>
      <c r="I383" t="s">
        <v>3145</v>
      </c>
      <c r="J383" s="32">
        <f>D383</f>
        <v>1500</v>
      </c>
      <c r="L383" s="32">
        <f>D383</f>
        <v>1500</v>
      </c>
      <c r="M383" s="32"/>
    </row>
    <row r="384" spans="3:13" ht="13.5" thickBot="1"/>
    <row r="385" spans="3:13" ht="13.5" thickBot="1">
      <c r="C385" s="1058" t="s">
        <v>3146</v>
      </c>
      <c r="D385" s="1064">
        <f>D380+D381</f>
        <v>4000</v>
      </c>
      <c r="F385" s="1064">
        <f>F380+F381</f>
        <v>7000</v>
      </c>
      <c r="I385" t="s">
        <v>3146</v>
      </c>
      <c r="J385" s="1064">
        <f>J380+J381</f>
        <v>22000</v>
      </c>
      <c r="L385" s="1064">
        <f>L380+L381</f>
        <v>22000</v>
      </c>
    </row>
    <row r="387" spans="3:13">
      <c r="C387" s="56" t="s">
        <v>3147</v>
      </c>
      <c r="D387" s="57">
        <f>D380/D382</f>
        <v>20</v>
      </c>
      <c r="E387" s="57"/>
      <c r="F387" s="57">
        <f>F380/F382</f>
        <v>50</v>
      </c>
      <c r="I387" t="s">
        <v>3147</v>
      </c>
      <c r="J387" s="57">
        <f>J380/J382</f>
        <v>200</v>
      </c>
      <c r="L387" s="57">
        <f>L380/L382</f>
        <v>66.666666666666671</v>
      </c>
      <c r="M387" s="57"/>
    </row>
    <row r="388" spans="3:13">
      <c r="C388" s="56" t="s">
        <v>3148</v>
      </c>
      <c r="D388" s="57">
        <f>D385/D382</f>
        <v>40</v>
      </c>
      <c r="E388" s="57"/>
      <c r="F388" s="57">
        <f>F385/F382</f>
        <v>70</v>
      </c>
      <c r="I388" t="s">
        <v>3148</v>
      </c>
      <c r="J388" s="57">
        <f>J385/J382</f>
        <v>220</v>
      </c>
      <c r="L388" s="57">
        <f>L385/L382</f>
        <v>73.333333333333329</v>
      </c>
      <c r="M388" s="57"/>
    </row>
    <row r="390" spans="3:13">
      <c r="C390" s="56" t="s">
        <v>3149</v>
      </c>
      <c r="D390" s="58">
        <f>D382+1/(D387-1)*D382</f>
        <v>105.26315789473684</v>
      </c>
      <c r="F390" s="58">
        <f>F382+1/(F387-1)*F382</f>
        <v>102.04081632653062</v>
      </c>
      <c r="I390" t="s">
        <v>3149</v>
      </c>
      <c r="J390" s="58">
        <f>J382+1/(J387-1)*J382</f>
        <v>100.50251256281408</v>
      </c>
      <c r="L390" s="58">
        <f>L382+1/(L387-1)*L382</f>
        <v>304.56852791878174</v>
      </c>
    </row>
    <row r="391" spans="3:13">
      <c r="C391" s="56" t="s">
        <v>3150</v>
      </c>
      <c r="D391" s="58">
        <f>D382+1/(D388-1)*D382</f>
        <v>102.56410256410257</v>
      </c>
      <c r="F391" s="58">
        <f>F382+1/(F388-1)*F382</f>
        <v>101.44927536231884</v>
      </c>
      <c r="I391" t="s">
        <v>3150</v>
      </c>
      <c r="J391" s="58">
        <f>J382+1/(J388-1)*J382</f>
        <v>100.45662100456622</v>
      </c>
      <c r="L391" s="58">
        <f>L382+1/(L388-1)*L382</f>
        <v>304.14746543778801</v>
      </c>
    </row>
    <row r="392" spans="3:13">
      <c r="C392" s="56"/>
    </row>
    <row r="393" spans="3:13">
      <c r="C393" s="496" t="s">
        <v>3151</v>
      </c>
      <c r="D393" s="1065" t="s">
        <v>3152</v>
      </c>
      <c r="E393" s="1066">
        <f>D387-1</f>
        <v>19</v>
      </c>
      <c r="F393" s="1065" t="s">
        <v>3152</v>
      </c>
      <c r="G393" s="1066">
        <f>F387-1</f>
        <v>49</v>
      </c>
      <c r="I393" s="298" t="s">
        <v>3151</v>
      </c>
      <c r="J393" s="1065" t="s">
        <v>3152</v>
      </c>
      <c r="K393" s="1066">
        <f>J387-1</f>
        <v>199</v>
      </c>
      <c r="L393" s="1065" t="s">
        <v>3152</v>
      </c>
      <c r="M393" s="1066">
        <f>L387-1</f>
        <v>65.666666666666671</v>
      </c>
    </row>
    <row r="394" spans="3:13">
      <c r="C394" s="56" t="s">
        <v>3153</v>
      </c>
      <c r="D394" s="1067" t="s">
        <v>3152</v>
      </c>
      <c r="E394" s="1068">
        <f>D388-1</f>
        <v>39</v>
      </c>
      <c r="F394" s="1067" t="s">
        <v>3152</v>
      </c>
      <c r="G394" s="1068">
        <f>F388-1</f>
        <v>69</v>
      </c>
      <c r="I394" s="298" t="s">
        <v>3153</v>
      </c>
      <c r="J394" s="1065" t="s">
        <v>3152</v>
      </c>
      <c r="K394" s="1066">
        <f>J388-1</f>
        <v>219</v>
      </c>
      <c r="L394" s="1065" t="s">
        <v>3152</v>
      </c>
      <c r="M394" s="1066">
        <f>L388-1</f>
        <v>72.333333333333329</v>
      </c>
    </row>
    <row r="395" spans="3:13">
      <c r="C395" s="56"/>
    </row>
    <row r="396" spans="3:13">
      <c r="C396" s="56" t="s">
        <v>3154</v>
      </c>
      <c r="D396" s="57">
        <f>D383/E393</f>
        <v>78.94736842105263</v>
      </c>
      <c r="F396" s="57">
        <f>F383/G393</f>
        <v>30.612244897959183</v>
      </c>
      <c r="I396" t="s">
        <v>3154</v>
      </c>
      <c r="J396" s="59">
        <f>J383/K393</f>
        <v>7.5376884422110555</v>
      </c>
      <c r="L396" s="59">
        <f>L383/M393</f>
        <v>22.842639593908629</v>
      </c>
      <c r="M396" s="59"/>
    </row>
    <row r="397" spans="3:13">
      <c r="C397" s="56" t="s">
        <v>3155</v>
      </c>
      <c r="D397" s="57">
        <f>D383/E394</f>
        <v>38.46153846153846</v>
      </c>
      <c r="F397" s="57">
        <f>F383/G394</f>
        <v>21.739130434782609</v>
      </c>
      <c r="I397" t="s">
        <v>3155</v>
      </c>
      <c r="J397" s="59">
        <f>J383/K394</f>
        <v>6.8493150684931505</v>
      </c>
      <c r="L397" s="59">
        <f>L383/M394</f>
        <v>20.737327188940093</v>
      </c>
      <c r="M397" s="59"/>
    </row>
    <row r="398" spans="3:13">
      <c r="C398" s="56"/>
    </row>
    <row r="399" spans="3:13">
      <c r="C399" s="56" t="s">
        <v>3156</v>
      </c>
      <c r="D399" s="57">
        <f>D396/D397</f>
        <v>2.0526315789473686</v>
      </c>
      <c r="E399" s="57"/>
      <c r="F399" s="57">
        <f>F396/F397</f>
        <v>1.4081632653061225</v>
      </c>
      <c r="I399" t="s">
        <v>3156</v>
      </c>
      <c r="J399" s="57">
        <f>J396/J397</f>
        <v>1.1005025125628141</v>
      </c>
      <c r="L399" s="57">
        <f>L396/L397</f>
        <v>1.1015228426395938</v>
      </c>
      <c r="M399" s="57"/>
    </row>
    <row r="400" spans="3:13">
      <c r="C400" s="56"/>
    </row>
    <row r="401" spans="3:9">
      <c r="C401" s="56"/>
    </row>
    <row r="402" spans="3:9">
      <c r="C402" s="56"/>
    </row>
    <row r="403" spans="3:9" ht="150" customHeight="1">
      <c r="C403" s="1069" t="s">
        <v>3157</v>
      </c>
      <c r="I403" s="1070" t="s">
        <v>3158</v>
      </c>
    </row>
    <row r="404" spans="3:9">
      <c r="C404" s="56"/>
    </row>
    <row r="405" spans="3:9">
      <c r="C405" s="56"/>
    </row>
    <row r="406" spans="3:9">
      <c r="C406" s="56"/>
    </row>
    <row r="407" spans="3:9">
      <c r="C407" s="56"/>
    </row>
    <row r="408" spans="3:9">
      <c r="C408" s="56"/>
    </row>
    <row r="409" spans="3:9">
      <c r="C409" s="56"/>
    </row>
    <row r="410" spans="3:9">
      <c r="C410" s="56"/>
    </row>
    <row r="411" spans="3:9">
      <c r="C411" s="56"/>
    </row>
  </sheetData>
  <mergeCells count="4">
    <mergeCell ref="D326:E326"/>
    <mergeCell ref="F326:G326"/>
    <mergeCell ref="D357:E357"/>
    <mergeCell ref="F357:G357"/>
  </mergeCells>
  <pageMargins left="0.78740157499999996" right="0.78740157499999996" top="0.984251969" bottom="0.984251969" header="0.4921259845" footer="0.4921259845"/>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4"/>
  <dimension ref="A1:R96"/>
  <sheetViews>
    <sheetView workbookViewId="0">
      <selection activeCell="M32" sqref="M32"/>
    </sheetView>
  </sheetViews>
  <sheetFormatPr baseColWidth="10" defaultRowHeight="12.75"/>
  <cols>
    <col min="1" max="1" width="11.42578125" style="56"/>
    <col min="2" max="2" width="27" customWidth="1"/>
    <col min="3" max="3" width="14.28515625" customWidth="1"/>
    <col min="6" max="6" width="12.7109375" bestFit="1" customWidth="1"/>
    <col min="9" max="9" width="12.5703125" bestFit="1" customWidth="1"/>
  </cols>
  <sheetData>
    <row r="1" spans="3:18">
      <c r="I1" s="24"/>
      <c r="J1" s="24"/>
      <c r="K1" s="24"/>
      <c r="L1" s="24"/>
      <c r="M1" s="24"/>
      <c r="N1" s="24"/>
      <c r="O1" s="24"/>
      <c r="P1" s="24"/>
      <c r="Q1" s="24"/>
      <c r="R1" s="24"/>
    </row>
    <row r="2" spans="3:18">
      <c r="C2" s="298" t="s">
        <v>2571</v>
      </c>
      <c r="I2" s="24"/>
      <c r="J2" s="24"/>
      <c r="K2" s="24"/>
      <c r="L2" s="24"/>
      <c r="M2" s="24"/>
      <c r="N2" s="24"/>
      <c r="O2" s="24"/>
      <c r="P2" s="24"/>
      <c r="Q2" s="24"/>
      <c r="R2" s="24"/>
    </row>
    <row r="3" spans="3:18">
      <c r="C3" s="298"/>
      <c r="I3" s="24"/>
      <c r="J3" s="24"/>
      <c r="K3" s="24"/>
      <c r="L3" s="24"/>
      <c r="M3" s="24"/>
      <c r="N3" s="24"/>
      <c r="O3" s="24"/>
      <c r="P3" s="24"/>
      <c r="Q3" s="24"/>
      <c r="R3" s="24"/>
    </row>
    <row r="4" spans="3:18">
      <c r="C4" s="298" t="s">
        <v>2581</v>
      </c>
      <c r="I4" s="24"/>
      <c r="J4" s="24"/>
      <c r="K4" s="24"/>
      <c r="L4" s="24"/>
      <c r="M4" s="24"/>
      <c r="N4" s="24"/>
      <c r="O4" s="24"/>
      <c r="P4" s="24"/>
      <c r="Q4" s="24"/>
      <c r="R4" s="24"/>
    </row>
    <row r="5" spans="3:18">
      <c r="C5" s="298" t="s">
        <v>2582</v>
      </c>
      <c r="I5" s="24"/>
      <c r="J5" s="24"/>
      <c r="K5" s="24"/>
      <c r="L5" s="24"/>
      <c r="M5" s="24"/>
      <c r="N5" s="24"/>
      <c r="O5" s="24"/>
      <c r="P5" s="24"/>
      <c r="Q5" s="24"/>
      <c r="R5" s="24"/>
    </row>
    <row r="6" spans="3:18">
      <c r="I6" s="24"/>
      <c r="J6" s="24"/>
      <c r="K6" s="24"/>
      <c r="L6" s="24"/>
      <c r="M6" s="24"/>
      <c r="N6" s="24"/>
      <c r="O6" s="24"/>
      <c r="P6" s="24"/>
      <c r="Q6" s="24"/>
      <c r="R6" s="24"/>
    </row>
    <row r="7" spans="3:18">
      <c r="I7" s="24"/>
      <c r="J7" s="24"/>
      <c r="K7" s="24"/>
      <c r="L7" s="24"/>
      <c r="M7" s="24"/>
      <c r="N7" s="24"/>
      <c r="O7" s="24"/>
      <c r="P7" s="24"/>
      <c r="Q7" s="24"/>
      <c r="R7" s="24"/>
    </row>
    <row r="8" spans="3:18">
      <c r="I8" s="24"/>
      <c r="J8" s="24"/>
      <c r="K8" s="24"/>
      <c r="L8" s="24"/>
      <c r="M8" s="24"/>
      <c r="N8" s="24"/>
      <c r="O8" s="24"/>
      <c r="P8" s="24"/>
      <c r="Q8" s="24"/>
      <c r="R8" s="24"/>
    </row>
    <row r="9" spans="3:18">
      <c r="C9" t="s">
        <v>2572</v>
      </c>
      <c r="I9" s="24"/>
      <c r="J9" s="24"/>
      <c r="K9" s="24"/>
      <c r="L9" s="24"/>
      <c r="M9" s="24"/>
      <c r="N9" s="24"/>
      <c r="O9" s="24"/>
      <c r="P9" s="24"/>
      <c r="Q9" s="24"/>
      <c r="R9" s="24"/>
    </row>
    <row r="10" spans="3:18">
      <c r="I10" s="24"/>
      <c r="J10" s="24"/>
      <c r="K10" s="24"/>
      <c r="L10" s="24"/>
      <c r="M10" s="24"/>
      <c r="N10" s="24"/>
      <c r="O10" s="24"/>
      <c r="P10" s="24"/>
      <c r="Q10" s="24"/>
      <c r="R10" s="24"/>
    </row>
    <row r="11" spans="3:18">
      <c r="C11" t="s">
        <v>2573</v>
      </c>
      <c r="D11" s="916" t="s">
        <v>224</v>
      </c>
      <c r="E11" s="916" t="s">
        <v>225</v>
      </c>
      <c r="F11" s="916" t="s">
        <v>2574</v>
      </c>
      <c r="G11" s="916" t="s">
        <v>1773</v>
      </c>
      <c r="H11" s="916" t="s">
        <v>1963</v>
      </c>
      <c r="I11" s="920"/>
      <c r="J11" s="920"/>
      <c r="K11" s="920"/>
      <c r="L11" s="24"/>
      <c r="M11" s="24"/>
      <c r="N11" s="24"/>
      <c r="O11" s="24"/>
      <c r="P11" s="24"/>
      <c r="Q11" s="24"/>
      <c r="R11" s="24"/>
    </row>
    <row r="12" spans="3:18">
      <c r="D12" s="916" t="s">
        <v>344</v>
      </c>
      <c r="E12" s="916" t="s">
        <v>344</v>
      </c>
      <c r="F12" s="916" t="s">
        <v>344</v>
      </c>
      <c r="G12" s="916" t="s">
        <v>344</v>
      </c>
      <c r="H12" s="916" t="s">
        <v>1846</v>
      </c>
      <c r="I12" s="24"/>
      <c r="J12" s="24"/>
      <c r="K12" s="24"/>
      <c r="L12" s="24"/>
      <c r="M12" s="24"/>
      <c r="N12" s="24"/>
      <c r="O12" s="24"/>
      <c r="P12" s="24"/>
      <c r="Q12" s="24"/>
      <c r="R12" s="24"/>
    </row>
    <row r="13" spans="3:18">
      <c r="C13" t="s">
        <v>2575</v>
      </c>
      <c r="D13" s="917">
        <v>48</v>
      </c>
      <c r="E13" s="917">
        <v>36</v>
      </c>
      <c r="F13" s="918">
        <f>SQRT(D13^2+E13^2)</f>
        <v>60</v>
      </c>
      <c r="G13" s="919">
        <v>50</v>
      </c>
      <c r="H13" s="908">
        <f>2* DEGREES(ATAN((F13/2)/G13))</f>
        <v>61.927513064147043</v>
      </c>
      <c r="I13" s="24"/>
      <c r="J13" s="24"/>
      <c r="K13" s="24"/>
      <c r="L13" s="24"/>
      <c r="M13" s="24"/>
      <c r="N13" s="24"/>
      <c r="O13" s="24"/>
      <c r="P13" s="24"/>
      <c r="Q13" s="24"/>
      <c r="R13" s="24"/>
    </row>
    <row r="14" spans="3:18">
      <c r="C14" t="s">
        <v>2576</v>
      </c>
      <c r="D14" s="917">
        <v>36</v>
      </c>
      <c r="E14" s="917">
        <v>24</v>
      </c>
      <c r="F14" s="918">
        <f t="shared" ref="F14:F18" si="0">SQRT(D14^2+E14^2)</f>
        <v>43.266615305567875</v>
      </c>
      <c r="G14" s="318">
        <f>G13</f>
        <v>50</v>
      </c>
      <c r="H14" s="908">
        <f t="shared" ref="H14:H18" si="1">2* DEGREES(ATAN((F14/2)/G14))</f>
        <v>46.793003343965573</v>
      </c>
      <c r="I14" s="24"/>
      <c r="J14" s="24"/>
      <c r="K14" s="24"/>
      <c r="L14" s="24"/>
      <c r="M14" s="24"/>
      <c r="N14" s="24"/>
      <c r="O14" s="24"/>
      <c r="P14" s="24"/>
      <c r="Q14" s="24"/>
      <c r="R14" s="24"/>
    </row>
    <row r="15" spans="3:18">
      <c r="C15" t="s">
        <v>2577</v>
      </c>
      <c r="D15" s="917">
        <v>22.2</v>
      </c>
      <c r="E15" s="917">
        <v>14.8</v>
      </c>
      <c r="F15" s="918">
        <f t="shared" si="0"/>
        <v>26.681079438433521</v>
      </c>
      <c r="G15" s="318">
        <f t="shared" ref="G15:G18" si="2">G14</f>
        <v>50</v>
      </c>
      <c r="H15" s="908">
        <f t="shared" si="1"/>
        <v>29.878253136819179</v>
      </c>
      <c r="I15" s="24"/>
      <c r="J15" s="24"/>
      <c r="K15" s="24"/>
      <c r="L15" s="24"/>
      <c r="M15" s="24"/>
      <c r="N15" s="24"/>
      <c r="O15" s="24"/>
      <c r="P15" s="24"/>
      <c r="Q15" s="24"/>
      <c r="R15" s="24"/>
    </row>
    <row r="16" spans="3:18">
      <c r="C16" t="s">
        <v>2578</v>
      </c>
      <c r="D16" s="917">
        <v>17.3</v>
      </c>
      <c r="E16" s="917">
        <v>13</v>
      </c>
      <c r="F16" s="918">
        <f t="shared" si="0"/>
        <v>21.640009242142206</v>
      </c>
      <c r="G16" s="318">
        <f t="shared" si="2"/>
        <v>50</v>
      </c>
      <c r="H16" s="908">
        <f t="shared" si="1"/>
        <v>24.421066302691038</v>
      </c>
      <c r="I16" s="24"/>
      <c r="J16" s="24"/>
      <c r="K16" s="24"/>
      <c r="L16" s="24"/>
      <c r="M16" s="24"/>
      <c r="N16" s="24"/>
      <c r="O16" s="24"/>
      <c r="P16" s="24"/>
      <c r="Q16" s="24"/>
      <c r="R16" s="24"/>
    </row>
    <row r="17" spans="1:18">
      <c r="C17" t="s">
        <v>2579</v>
      </c>
      <c r="D17" s="917">
        <v>13.2</v>
      </c>
      <c r="E17" s="917">
        <v>8.8000000000000007</v>
      </c>
      <c r="F17" s="918">
        <f t="shared" si="0"/>
        <v>15.864425612041552</v>
      </c>
      <c r="G17" s="318">
        <f t="shared" si="2"/>
        <v>50</v>
      </c>
      <c r="H17" s="908">
        <f t="shared" si="1"/>
        <v>18.029042940837122</v>
      </c>
      <c r="I17" s="24"/>
      <c r="J17" s="24"/>
      <c r="K17" s="24"/>
      <c r="L17" s="24"/>
      <c r="M17" s="24"/>
      <c r="N17" s="24"/>
      <c r="O17" s="24"/>
      <c r="P17" s="24"/>
      <c r="Q17" s="24"/>
      <c r="R17" s="24"/>
    </row>
    <row r="18" spans="1:18">
      <c r="C18" t="s">
        <v>2580</v>
      </c>
      <c r="D18" s="917">
        <v>8.8000000000000007</v>
      </c>
      <c r="E18" s="917">
        <v>6.6</v>
      </c>
      <c r="F18" s="918">
        <f t="shared" si="0"/>
        <v>11</v>
      </c>
      <c r="G18" s="318">
        <f t="shared" si="2"/>
        <v>50</v>
      </c>
      <c r="H18" s="908">
        <f t="shared" si="1"/>
        <v>12.554596979195109</v>
      </c>
      <c r="I18" s="24"/>
      <c r="J18" s="24"/>
      <c r="K18" s="24"/>
      <c r="L18" s="24"/>
      <c r="M18" s="24"/>
      <c r="N18" s="24"/>
      <c r="O18" s="24"/>
      <c r="P18" s="24"/>
      <c r="Q18" s="24"/>
      <c r="R18" s="24"/>
    </row>
    <row r="19" spans="1:18">
      <c r="I19" s="24"/>
      <c r="J19" s="24"/>
      <c r="K19" s="24"/>
      <c r="L19" s="24"/>
      <c r="M19" s="24"/>
      <c r="N19" s="24"/>
      <c r="O19" s="24"/>
      <c r="P19" s="24"/>
      <c r="Q19" s="24"/>
      <c r="R19" s="24"/>
    </row>
    <row r="20" spans="1:18">
      <c r="A20" s="37"/>
      <c r="B20" s="24"/>
      <c r="C20" s="24"/>
      <c r="D20" s="24"/>
      <c r="E20" s="24"/>
      <c r="F20" s="24"/>
      <c r="G20" s="24"/>
      <c r="H20" s="24"/>
      <c r="I20" s="24"/>
      <c r="J20" s="24"/>
      <c r="K20" s="24"/>
      <c r="L20" s="24"/>
      <c r="M20" s="24"/>
      <c r="N20" s="24"/>
      <c r="O20" s="24"/>
      <c r="P20" s="24"/>
      <c r="Q20" s="24"/>
      <c r="R20" s="24"/>
    </row>
    <row r="21" spans="1:18">
      <c r="A21" s="37"/>
      <c r="B21" s="24"/>
      <c r="C21" s="24"/>
      <c r="D21" s="24"/>
      <c r="E21" s="24"/>
      <c r="F21" s="24"/>
      <c r="G21" s="24"/>
      <c r="H21" s="24"/>
      <c r="I21" s="24"/>
      <c r="J21" s="24"/>
      <c r="K21" s="24"/>
      <c r="L21" s="24"/>
      <c r="M21" s="24"/>
      <c r="N21" s="24"/>
      <c r="O21" s="24"/>
      <c r="P21" s="24"/>
      <c r="Q21" s="24"/>
      <c r="R21" s="24"/>
    </row>
    <row r="22" spans="1:18">
      <c r="A22" s="37"/>
      <c r="B22" s="24"/>
      <c r="C22" s="24"/>
      <c r="D22" s="24"/>
      <c r="E22" s="24"/>
      <c r="F22" s="24"/>
      <c r="G22" s="24"/>
      <c r="H22" s="24"/>
      <c r="I22" s="24"/>
      <c r="J22" s="24"/>
      <c r="K22" s="24"/>
      <c r="L22" s="24"/>
      <c r="M22" s="24"/>
      <c r="N22" s="24"/>
      <c r="O22" s="24"/>
      <c r="P22" s="24"/>
      <c r="Q22" s="24"/>
      <c r="R22" s="24"/>
    </row>
    <row r="23" spans="1:18">
      <c r="A23" s="37"/>
      <c r="B23" s="24"/>
      <c r="C23" s="24"/>
      <c r="D23" s="24"/>
      <c r="E23" s="24"/>
      <c r="F23" s="24"/>
      <c r="G23" s="24"/>
      <c r="H23" s="24"/>
      <c r="I23" s="24"/>
      <c r="J23" s="24"/>
      <c r="K23" s="24"/>
      <c r="L23" s="24"/>
      <c r="M23" s="24"/>
      <c r="N23" s="24"/>
      <c r="O23" s="24"/>
      <c r="P23" s="24"/>
      <c r="Q23" s="24"/>
      <c r="R23" s="24"/>
    </row>
    <row r="24" spans="1:18">
      <c r="A24" s="37"/>
      <c r="B24" s="24"/>
      <c r="C24" s="24"/>
      <c r="D24" s="24"/>
      <c r="E24" s="24"/>
      <c r="F24" s="24"/>
      <c r="G24" s="24"/>
      <c r="H24" s="24"/>
      <c r="I24" s="24"/>
      <c r="J24" s="24"/>
      <c r="K24" s="24"/>
      <c r="L24" s="24"/>
      <c r="M24" s="24"/>
      <c r="N24" s="24"/>
      <c r="O24" s="24"/>
      <c r="P24" s="24"/>
      <c r="Q24" s="24"/>
      <c r="R24" s="24"/>
    </row>
    <row r="25" spans="1:18">
      <c r="A25" s="37"/>
      <c r="B25" s="24"/>
      <c r="C25" s="24"/>
      <c r="D25" s="24"/>
      <c r="E25" s="24"/>
      <c r="F25" s="24"/>
      <c r="G25" s="24"/>
      <c r="H25" s="24"/>
      <c r="I25" s="24"/>
      <c r="J25" s="24"/>
      <c r="K25" s="24"/>
      <c r="L25" s="24"/>
      <c r="M25" s="24"/>
      <c r="N25" s="24"/>
      <c r="O25" s="24"/>
      <c r="P25" s="24"/>
      <c r="Q25" s="24"/>
      <c r="R25" s="24"/>
    </row>
    <row r="26" spans="1:18">
      <c r="A26" s="37"/>
      <c r="B26" s="24"/>
      <c r="C26" s="24"/>
      <c r="D26" s="24"/>
      <c r="E26" s="24"/>
      <c r="F26" s="24"/>
      <c r="G26" s="24"/>
      <c r="H26" s="24"/>
      <c r="I26" s="24"/>
      <c r="J26" s="24"/>
      <c r="K26" s="24"/>
      <c r="L26" s="24"/>
      <c r="M26" s="24"/>
      <c r="N26" s="24"/>
      <c r="O26" s="24"/>
      <c r="P26" s="24"/>
      <c r="Q26" s="24"/>
      <c r="R26" s="24"/>
    </row>
    <row r="27" spans="1:18">
      <c r="A27" s="37"/>
      <c r="B27" s="24"/>
      <c r="C27" s="24"/>
      <c r="D27" s="24"/>
      <c r="E27" s="24"/>
      <c r="F27" s="24"/>
      <c r="G27" s="24"/>
      <c r="H27" s="24"/>
      <c r="I27" s="24"/>
      <c r="J27" s="24"/>
      <c r="K27" s="24"/>
      <c r="L27" s="24"/>
      <c r="M27" s="24"/>
      <c r="N27" s="24"/>
      <c r="O27" s="24"/>
      <c r="P27" s="24"/>
      <c r="Q27" s="24"/>
      <c r="R27" s="24"/>
    </row>
    <row r="28" spans="1:18">
      <c r="A28" s="37"/>
      <c r="B28" s="24"/>
      <c r="C28" s="24"/>
      <c r="D28" s="24"/>
      <c r="E28" s="24"/>
      <c r="F28" s="24"/>
      <c r="G28" s="24"/>
      <c r="H28" s="24"/>
      <c r="I28" s="24"/>
      <c r="J28" s="24"/>
      <c r="K28" s="24"/>
      <c r="L28" s="24"/>
      <c r="M28" s="24"/>
      <c r="N28" s="24"/>
      <c r="O28" s="24"/>
      <c r="P28" s="24"/>
      <c r="Q28" s="24"/>
      <c r="R28" s="24"/>
    </row>
    <row r="29" spans="1:18">
      <c r="A29" s="37"/>
      <c r="B29" s="24"/>
      <c r="C29" s="24"/>
      <c r="D29" s="24"/>
      <c r="E29" s="24"/>
      <c r="F29" s="24"/>
      <c r="G29" s="24"/>
      <c r="H29" s="24"/>
      <c r="I29" s="24"/>
      <c r="J29" s="24"/>
      <c r="K29" s="24"/>
      <c r="L29" s="24"/>
      <c r="M29" s="24"/>
      <c r="N29" s="24"/>
      <c r="O29" s="24"/>
      <c r="P29" s="24"/>
      <c r="Q29" s="24"/>
      <c r="R29" s="24"/>
    </row>
    <row r="30" spans="1:18">
      <c r="A30" s="37"/>
      <c r="B30" s="24"/>
      <c r="C30" s="24"/>
      <c r="D30" s="24"/>
      <c r="E30" s="24"/>
      <c r="F30" s="24"/>
      <c r="G30" s="24"/>
      <c r="H30" s="24"/>
      <c r="I30" s="24"/>
      <c r="J30" s="24"/>
      <c r="K30" s="24"/>
      <c r="L30" s="24"/>
      <c r="M30" s="24"/>
      <c r="N30" s="24"/>
      <c r="O30" s="24"/>
      <c r="P30" s="24"/>
      <c r="Q30" s="24"/>
      <c r="R30" s="24"/>
    </row>
    <row r="31" spans="1:18">
      <c r="A31" s="37"/>
      <c r="B31" s="24"/>
      <c r="C31" s="24"/>
      <c r="D31" s="24"/>
      <c r="E31" s="24"/>
      <c r="F31" s="24"/>
      <c r="G31" s="24"/>
      <c r="H31" s="24"/>
      <c r="I31" s="24"/>
      <c r="J31" s="24"/>
      <c r="K31" s="24"/>
      <c r="L31" s="24"/>
      <c r="M31" s="24"/>
      <c r="N31" s="24"/>
      <c r="O31" s="24"/>
      <c r="P31" s="24"/>
      <c r="Q31" s="24"/>
      <c r="R31" s="24"/>
    </row>
    <row r="32" spans="1:18">
      <c r="A32" s="37"/>
      <c r="B32" s="24"/>
      <c r="C32" s="24"/>
      <c r="D32" s="24"/>
      <c r="E32" s="24"/>
      <c r="F32" s="24"/>
      <c r="G32" s="24"/>
      <c r="H32" s="24"/>
      <c r="I32" s="24"/>
      <c r="J32" s="24"/>
      <c r="K32" s="24"/>
      <c r="L32" s="24"/>
      <c r="M32" s="24"/>
      <c r="N32" s="24"/>
      <c r="O32" s="24"/>
      <c r="P32" s="24"/>
      <c r="Q32" s="24"/>
      <c r="R32" s="24"/>
    </row>
    <row r="33" spans="1:18">
      <c r="A33" s="37"/>
      <c r="B33" s="24"/>
      <c r="C33" s="24"/>
      <c r="D33" s="24"/>
      <c r="E33" s="24"/>
      <c r="F33" s="24"/>
      <c r="G33" s="24"/>
      <c r="H33" s="24"/>
      <c r="I33" s="24"/>
      <c r="J33" s="24"/>
      <c r="K33" s="24"/>
      <c r="L33" s="24"/>
      <c r="M33" s="24"/>
      <c r="N33" s="24"/>
      <c r="O33" s="24"/>
      <c r="P33" s="24"/>
      <c r="Q33" s="24"/>
      <c r="R33" s="24"/>
    </row>
    <row r="34" spans="1:18">
      <c r="A34" s="37"/>
      <c r="B34" s="24"/>
      <c r="C34" s="24"/>
      <c r="D34" s="24"/>
      <c r="E34" s="24"/>
      <c r="F34" s="24"/>
      <c r="G34" s="24"/>
      <c r="H34" s="24"/>
      <c r="I34" s="24"/>
      <c r="J34" s="24"/>
      <c r="K34" s="24"/>
      <c r="L34" s="24"/>
      <c r="M34" s="24"/>
      <c r="N34" s="24"/>
      <c r="O34" s="24"/>
      <c r="P34" s="24"/>
      <c r="Q34" s="24"/>
      <c r="R34" s="24"/>
    </row>
    <row r="35" spans="1:18">
      <c r="A35" s="37"/>
      <c r="B35" s="24"/>
      <c r="C35" s="24"/>
      <c r="D35" s="24"/>
      <c r="E35" s="24"/>
      <c r="F35" s="24"/>
      <c r="G35" s="24"/>
      <c r="H35" s="24"/>
      <c r="I35" s="24"/>
      <c r="J35" s="24"/>
      <c r="K35" s="24"/>
      <c r="L35" s="24"/>
      <c r="M35" s="24"/>
      <c r="N35" s="24"/>
      <c r="O35" s="24"/>
      <c r="P35" s="24"/>
      <c r="Q35" s="24"/>
      <c r="R35" s="24"/>
    </row>
    <row r="36" spans="1:18">
      <c r="A36" s="37"/>
      <c r="B36" s="24"/>
      <c r="C36" s="24"/>
      <c r="D36" s="24"/>
      <c r="E36" s="24"/>
      <c r="F36" s="24"/>
      <c r="G36" s="24"/>
      <c r="H36" s="24"/>
      <c r="I36" s="24"/>
      <c r="J36" s="24"/>
      <c r="K36" s="24"/>
      <c r="L36" s="24"/>
      <c r="M36" s="24"/>
      <c r="N36" s="24"/>
      <c r="O36" s="24"/>
      <c r="P36" s="24"/>
      <c r="Q36" s="24"/>
      <c r="R36" s="24"/>
    </row>
    <row r="37" spans="1:18">
      <c r="A37" s="37"/>
      <c r="B37" s="24"/>
      <c r="C37" s="24"/>
      <c r="D37" s="24"/>
      <c r="E37" s="24"/>
      <c r="F37" s="24"/>
      <c r="G37" s="24"/>
      <c r="H37" s="24"/>
      <c r="I37" s="24"/>
      <c r="J37" s="24"/>
      <c r="K37" s="24"/>
      <c r="L37" s="24"/>
      <c r="M37" s="24"/>
      <c r="N37" s="24"/>
      <c r="O37" s="24"/>
      <c r="P37" s="24"/>
      <c r="Q37" s="24"/>
      <c r="R37" s="24"/>
    </row>
    <row r="38" spans="1:18">
      <c r="A38" s="37"/>
      <c r="B38" s="24"/>
      <c r="C38" s="24"/>
      <c r="D38" s="24"/>
      <c r="E38" s="24"/>
      <c r="F38" s="24"/>
      <c r="G38" s="24"/>
      <c r="H38" s="24"/>
      <c r="I38" s="24"/>
      <c r="J38" s="24"/>
      <c r="K38" s="24"/>
      <c r="L38" s="24"/>
      <c r="M38" s="24"/>
      <c r="N38" s="24"/>
      <c r="O38" s="24"/>
      <c r="P38" s="24"/>
      <c r="Q38" s="24"/>
      <c r="R38" s="24"/>
    </row>
    <row r="39" spans="1:18">
      <c r="A39" s="37"/>
      <c r="B39" s="24"/>
      <c r="C39" s="24"/>
      <c r="D39" s="24"/>
      <c r="E39" s="24"/>
      <c r="F39" s="24"/>
      <c r="G39" s="24"/>
      <c r="H39" s="24"/>
      <c r="I39" s="24"/>
      <c r="J39" s="24"/>
    </row>
    <row r="40" spans="1:18">
      <c r="A40" s="37"/>
      <c r="B40" s="24"/>
      <c r="C40" s="24"/>
      <c r="D40" s="24"/>
      <c r="E40" s="24"/>
      <c r="F40" s="24"/>
      <c r="G40" s="24"/>
      <c r="H40" s="24"/>
      <c r="I40" s="24"/>
      <c r="J40" s="24"/>
    </row>
    <row r="41" spans="1:18">
      <c r="A41" s="37"/>
      <c r="B41" s="24"/>
      <c r="C41" s="24"/>
      <c r="D41" s="24"/>
      <c r="E41" s="24"/>
      <c r="F41" s="24"/>
      <c r="G41" s="24"/>
      <c r="H41" s="24"/>
      <c r="I41" s="24"/>
      <c r="J41" s="24"/>
    </row>
    <row r="42" spans="1:18" ht="15">
      <c r="A42" s="366" t="s">
        <v>2658</v>
      </c>
      <c r="B42" s="24"/>
      <c r="C42" s="24"/>
      <c r="D42" s="24"/>
      <c r="E42" s="24"/>
      <c r="F42" s="24"/>
      <c r="G42" s="24"/>
      <c r="H42" s="24"/>
      <c r="I42" s="24"/>
      <c r="J42" s="24"/>
    </row>
    <row r="43" spans="1:18" ht="15">
      <c r="A43" s="616" t="s">
        <v>2659</v>
      </c>
      <c r="B43" s="1"/>
      <c r="C43" s="1"/>
      <c r="D43" s="1"/>
      <c r="E43" s="1"/>
      <c r="F43" s="1"/>
      <c r="G43" s="1"/>
      <c r="H43" s="1"/>
      <c r="I43" s="1"/>
      <c r="J43" s="1"/>
    </row>
    <row r="44" spans="1:18">
      <c r="A44" s="1"/>
      <c r="B44" s="1"/>
      <c r="C44" s="1"/>
      <c r="D44" s="1"/>
      <c r="E44" s="1"/>
      <c r="F44" s="1"/>
      <c r="G44" s="1"/>
      <c r="H44" s="1"/>
      <c r="I44" s="1"/>
      <c r="J44" s="1"/>
    </row>
    <row r="45" spans="1:18">
      <c r="A45" s="1"/>
      <c r="B45" s="1"/>
      <c r="C45" s="1"/>
      <c r="D45" s="1"/>
      <c r="E45" s="1"/>
      <c r="F45" s="1"/>
      <c r="G45" s="1"/>
      <c r="H45" s="1"/>
      <c r="I45" s="1"/>
      <c r="J45" s="1"/>
    </row>
    <row r="46" spans="1:18">
      <c r="A46" s="1"/>
      <c r="B46" s="1"/>
      <c r="C46" s="1"/>
      <c r="D46" s="1"/>
      <c r="E46" s="1"/>
      <c r="F46" s="1"/>
      <c r="G46" s="1"/>
      <c r="H46" s="1"/>
      <c r="I46" s="1"/>
      <c r="J46" s="1"/>
    </row>
    <row r="47" spans="1:18">
      <c r="A47" s="1"/>
      <c r="B47" s="1"/>
      <c r="C47" s="1"/>
      <c r="D47" s="1"/>
      <c r="E47" s="1"/>
      <c r="F47" s="1"/>
      <c r="G47" s="1"/>
      <c r="H47" s="1"/>
      <c r="I47" s="1"/>
      <c r="J47" s="1"/>
    </row>
    <row r="48" spans="1:18">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t="s">
        <v>2660</v>
      </c>
      <c r="C54" s="465">
        <v>70</v>
      </c>
      <c r="D54" s="1"/>
      <c r="E54" s="1"/>
      <c r="F54" s="1"/>
      <c r="G54" s="1"/>
      <c r="H54" s="1"/>
      <c r="I54" s="1"/>
      <c r="J54" s="1"/>
    </row>
    <row r="55" spans="1:10">
      <c r="A55" s="1"/>
      <c r="B55" s="1" t="s">
        <v>2661</v>
      </c>
      <c r="C55" s="465">
        <v>150</v>
      </c>
      <c r="D55" s="1"/>
      <c r="E55" s="1"/>
      <c r="F55" s="1"/>
      <c r="G55" s="1"/>
      <c r="H55" s="1"/>
      <c r="I55" s="1"/>
      <c r="J55" s="1"/>
    </row>
    <row r="56" spans="1:10">
      <c r="A56" s="1"/>
      <c r="B56" s="1" t="s">
        <v>2662</v>
      </c>
      <c r="C56" s="465">
        <v>4650</v>
      </c>
      <c r="D56" s="1"/>
      <c r="E56" s="1"/>
      <c r="F56" s="1"/>
      <c r="G56" s="1"/>
      <c r="H56" s="1"/>
      <c r="I56" s="1"/>
      <c r="J56" s="1"/>
    </row>
    <row r="57" spans="1:10">
      <c r="A57" s="1"/>
      <c r="B57" s="1"/>
      <c r="C57" s="1"/>
      <c r="D57" s="1"/>
      <c r="E57" s="1"/>
      <c r="F57" s="1"/>
      <c r="G57" s="1"/>
      <c r="H57" s="1"/>
      <c r="I57" s="1"/>
      <c r="J57" s="1"/>
    </row>
    <row r="58" spans="1:10">
      <c r="A58" s="1"/>
      <c r="B58" s="1" t="s">
        <v>2663</v>
      </c>
      <c r="C58" s="1">
        <f>C56/C55</f>
        <v>31</v>
      </c>
      <c r="D58" s="1"/>
      <c r="E58" s="1" t="s">
        <v>2664</v>
      </c>
      <c r="F58" s="1"/>
      <c r="G58" s="1"/>
      <c r="H58" s="1"/>
      <c r="I58" s="1"/>
      <c r="J58" s="1"/>
    </row>
    <row r="59" spans="1:10">
      <c r="A59" s="1"/>
      <c r="B59" s="1" t="s">
        <v>2665</v>
      </c>
      <c r="C59" s="1">
        <f>C58-1</f>
        <v>30</v>
      </c>
      <c r="D59" s="1"/>
      <c r="E59" s="1"/>
      <c r="F59" s="1"/>
      <c r="G59" s="1"/>
      <c r="H59" s="1"/>
      <c r="I59" s="1"/>
      <c r="J59" s="1"/>
    </row>
    <row r="60" spans="1:10">
      <c r="A60" s="1"/>
      <c r="B60" s="1" t="s">
        <v>2666</v>
      </c>
      <c r="C60" s="1">
        <f>1/(C58-1)</f>
        <v>3.3333333333333333E-2</v>
      </c>
      <c r="D60" s="1"/>
      <c r="E60" s="1" t="s">
        <v>2667</v>
      </c>
      <c r="F60" s="1"/>
      <c r="G60" s="1"/>
      <c r="H60" s="1"/>
      <c r="I60" s="1"/>
      <c r="J60" s="1"/>
    </row>
    <row r="61" spans="1:10">
      <c r="A61" s="1"/>
      <c r="B61" s="1"/>
      <c r="C61" s="1"/>
      <c r="D61" s="1"/>
      <c r="E61" s="1"/>
      <c r="F61" s="1"/>
      <c r="G61" s="1"/>
      <c r="H61" s="1"/>
      <c r="I61" s="1"/>
      <c r="J61" s="1"/>
    </row>
    <row r="62" spans="1:10">
      <c r="A62" s="1"/>
      <c r="B62" s="1" t="s">
        <v>2668</v>
      </c>
      <c r="C62" s="1">
        <f>RADIANS(C54/2)</f>
        <v>0.6108652381980153</v>
      </c>
      <c r="D62" s="1"/>
      <c r="E62" s="1"/>
      <c r="F62" s="1"/>
      <c r="G62" s="1"/>
      <c r="H62" s="1"/>
      <c r="I62" s="1"/>
      <c r="J62" s="1"/>
    </row>
    <row r="63" spans="1:10">
      <c r="A63" s="1"/>
      <c r="B63" s="1" t="s">
        <v>2669</v>
      </c>
      <c r="C63" s="1">
        <f>TAN(C62)</f>
        <v>0.70020753820970971</v>
      </c>
      <c r="D63" s="1"/>
      <c r="E63" s="1"/>
      <c r="F63" s="1"/>
      <c r="G63" s="1"/>
      <c r="H63" s="1"/>
      <c r="I63" s="1"/>
      <c r="J63" s="1"/>
    </row>
    <row r="64" spans="1:10">
      <c r="A64" s="1"/>
      <c r="B64" s="1"/>
      <c r="C64" s="1"/>
      <c r="D64" s="1"/>
      <c r="E64" s="1"/>
      <c r="F64" s="1"/>
      <c r="G64" s="1"/>
      <c r="H64" s="1"/>
      <c r="I64" s="1"/>
      <c r="J64" s="1"/>
    </row>
    <row r="65" spans="1:10">
      <c r="A65" s="26"/>
      <c r="B65" s="1" t="str">
        <f>B55</f>
        <v>Brennweite in mm</v>
      </c>
      <c r="C65" s="1">
        <f>C55</f>
        <v>150</v>
      </c>
      <c r="D65" s="1"/>
      <c r="E65" s="1"/>
      <c r="F65" s="1"/>
      <c r="G65" s="1"/>
      <c r="H65" s="1"/>
      <c r="I65" s="1"/>
      <c r="J65" s="1"/>
    </row>
    <row r="66" spans="1:10">
      <c r="A66" s="26" t="s">
        <v>389</v>
      </c>
      <c r="B66" s="1" t="s">
        <v>2670</v>
      </c>
      <c r="C66" s="1">
        <f>C63*C65</f>
        <v>105.03113073145646</v>
      </c>
      <c r="D66" s="1"/>
      <c r="E66" s="1"/>
      <c r="F66" s="1"/>
      <c r="G66" s="1"/>
      <c r="H66" s="1"/>
      <c r="I66" s="1"/>
      <c r="J66" s="1"/>
    </row>
    <row r="67" spans="1:10">
      <c r="A67" s="1"/>
      <c r="B67" s="1" t="s">
        <v>2671</v>
      </c>
      <c r="C67" s="1">
        <f>2*C66</f>
        <v>210.06226146291291</v>
      </c>
      <c r="D67" s="1"/>
      <c r="E67" s="1"/>
      <c r="F67" s="1"/>
      <c r="G67" s="1"/>
      <c r="H67" s="1"/>
      <c r="I67" s="1"/>
      <c r="J67" s="1"/>
    </row>
    <row r="68" spans="1:10">
      <c r="A68" s="1"/>
      <c r="B68" s="1"/>
      <c r="C68" s="1"/>
      <c r="D68" s="1"/>
      <c r="E68" s="1"/>
      <c r="F68" s="1"/>
      <c r="G68" s="1"/>
      <c r="H68" s="1"/>
      <c r="I68" s="1"/>
      <c r="J68" s="1"/>
    </row>
    <row r="69" spans="1:10">
      <c r="A69" s="1"/>
      <c r="B69" s="1" t="s">
        <v>2672</v>
      </c>
      <c r="C69" s="1">
        <f>C55+C55*C60</f>
        <v>155</v>
      </c>
      <c r="D69" s="1"/>
      <c r="E69" s="1"/>
      <c r="F69" s="1"/>
      <c r="G69" s="1"/>
      <c r="H69" s="1"/>
      <c r="I69" s="1"/>
      <c r="J69" s="1"/>
    </row>
    <row r="70" spans="1:10">
      <c r="A70" s="26" t="s">
        <v>391</v>
      </c>
      <c r="B70" s="1" t="s">
        <v>2670</v>
      </c>
      <c r="C70" s="1">
        <f>C63*C69</f>
        <v>108.53216842250501</v>
      </c>
      <c r="D70" s="1"/>
      <c r="E70" s="1"/>
      <c r="F70" s="1"/>
      <c r="G70" s="1"/>
      <c r="H70" s="1"/>
      <c r="I70" s="1"/>
      <c r="J70" s="1"/>
    </row>
    <row r="71" spans="1:10">
      <c r="A71" s="26"/>
      <c r="B71" s="1" t="s">
        <v>2671</v>
      </c>
      <c r="C71" s="1">
        <f>2*C70</f>
        <v>217.06433684501002</v>
      </c>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6" spans="1:10">
      <c r="B76" s="928" t="s">
        <v>2700</v>
      </c>
    </row>
    <row r="78" spans="1:10">
      <c r="B78" s="927" t="s">
        <v>2701</v>
      </c>
    </row>
    <row r="79" spans="1:10">
      <c r="B79" s="927" t="s">
        <v>2702</v>
      </c>
    </row>
    <row r="81" spans="2:11">
      <c r="B81" s="927" t="s">
        <v>2703</v>
      </c>
      <c r="C81" s="326">
        <v>3.6</v>
      </c>
      <c r="D81" t="s">
        <v>212</v>
      </c>
      <c r="F81" s="326">
        <v>3.6</v>
      </c>
      <c r="G81" t="s">
        <v>212</v>
      </c>
      <c r="I81" s="326">
        <v>3.6</v>
      </c>
      <c r="J81" t="s">
        <v>212</v>
      </c>
    </row>
    <row r="82" spans="2:11">
      <c r="B82" s="927" t="s">
        <v>2704</v>
      </c>
      <c r="C82" s="326">
        <v>2.4</v>
      </c>
      <c r="D82" t="s">
        <v>212</v>
      </c>
      <c r="F82" s="326">
        <v>2.4</v>
      </c>
      <c r="G82" t="s">
        <v>212</v>
      </c>
      <c r="I82" s="326">
        <v>2.4</v>
      </c>
      <c r="J82" t="s">
        <v>212</v>
      </c>
    </row>
    <row r="83" spans="2:11">
      <c r="B83" s="927" t="s">
        <v>1773</v>
      </c>
      <c r="C83" s="326">
        <v>2.8</v>
      </c>
      <c r="D83" t="s">
        <v>212</v>
      </c>
      <c r="F83" s="326">
        <v>5</v>
      </c>
      <c r="G83" t="s">
        <v>212</v>
      </c>
      <c r="I83" s="326">
        <v>18</v>
      </c>
      <c r="J83" t="s">
        <v>212</v>
      </c>
    </row>
    <row r="85" spans="2:11">
      <c r="B85" s="927" t="s">
        <v>2705</v>
      </c>
      <c r="C85" s="118">
        <f>SQRT(C81^2+C82^2)</f>
        <v>4.3266615305567866</v>
      </c>
      <c r="D85" s="118" t="s">
        <v>212</v>
      </c>
      <c r="E85" s="118"/>
      <c r="F85" s="118">
        <f>SQRT(F81^2+F82^2)</f>
        <v>4.3266615305567866</v>
      </c>
      <c r="G85" s="118" t="s">
        <v>212</v>
      </c>
      <c r="H85" s="118"/>
      <c r="I85" s="118">
        <f>SQRT(I81^2+I82^2)</f>
        <v>4.3266615305567866</v>
      </c>
      <c r="J85" t="s">
        <v>212</v>
      </c>
    </row>
    <row r="86" spans="2:11">
      <c r="B86" s="927" t="s">
        <v>2706</v>
      </c>
      <c r="C86" s="57">
        <f>C85/2</f>
        <v>2.1633307652783933</v>
      </c>
      <c r="D86" s="118" t="s">
        <v>212</v>
      </c>
      <c r="F86" s="57">
        <f>F85/2</f>
        <v>2.1633307652783933</v>
      </c>
      <c r="G86" s="118" t="s">
        <v>212</v>
      </c>
      <c r="I86" s="57">
        <f>I85/2</f>
        <v>2.1633307652783933</v>
      </c>
      <c r="J86" s="118" t="s">
        <v>212</v>
      </c>
    </row>
    <row r="87" spans="2:11">
      <c r="B87" s="927" t="s">
        <v>2707</v>
      </c>
      <c r="C87" s="57">
        <f>DEGREES(ATAN(C86/C83))</f>
        <v>37.690324811702787</v>
      </c>
      <c r="D87" t="s">
        <v>1846</v>
      </c>
      <c r="F87" s="57">
        <f>DEGREES(ATAN(F86/F83))</f>
        <v>23.396501671982783</v>
      </c>
      <c r="G87" t="s">
        <v>1846</v>
      </c>
      <c r="I87" s="57">
        <f>DEGREES(ATAN(I86/I83))</f>
        <v>6.8532248351212894</v>
      </c>
      <c r="J87" t="s">
        <v>1846</v>
      </c>
    </row>
    <row r="88" spans="2:11">
      <c r="B88" s="927" t="s">
        <v>2708</v>
      </c>
      <c r="C88" s="57">
        <f>C87*2</f>
        <v>75.380649623405574</v>
      </c>
      <c r="D88" s="57" t="s">
        <v>1846</v>
      </c>
      <c r="E88" s="57"/>
      <c r="F88" s="57">
        <f>F87*2</f>
        <v>46.793003343965566</v>
      </c>
      <c r="G88" s="57" t="s">
        <v>1846</v>
      </c>
      <c r="H88" s="57"/>
      <c r="I88" s="57">
        <f>I87*2</f>
        <v>13.706449670242579</v>
      </c>
      <c r="J88" s="57" t="s">
        <v>1846</v>
      </c>
    </row>
    <row r="90" spans="2:11">
      <c r="B90" s="928" t="s">
        <v>2709</v>
      </c>
    </row>
    <row r="91" spans="2:11">
      <c r="B91" s="927"/>
    </row>
    <row r="92" spans="2:11">
      <c r="B92" s="927" t="s">
        <v>2710</v>
      </c>
      <c r="C92" s="57">
        <f>C87</f>
        <v>37.690324811702787</v>
      </c>
      <c r="D92" s="57" t="str">
        <f>D87</f>
        <v>Grad</v>
      </c>
      <c r="F92" s="57">
        <f>F87</f>
        <v>23.396501671982783</v>
      </c>
      <c r="G92" s="57" t="str">
        <f>G87</f>
        <v>Grad</v>
      </c>
      <c r="I92" s="57">
        <f>I87</f>
        <v>6.8532248351212894</v>
      </c>
      <c r="J92" s="57" t="str">
        <f>J87</f>
        <v>Grad</v>
      </c>
    </row>
    <row r="93" spans="2:11">
      <c r="B93" s="927" t="s">
        <v>2711</v>
      </c>
      <c r="C93" s="326">
        <v>5000</v>
      </c>
      <c r="D93" t="s">
        <v>212</v>
      </c>
      <c r="F93" s="326">
        <v>5000</v>
      </c>
      <c r="G93" t="s">
        <v>212</v>
      </c>
      <c r="I93" s="326">
        <v>5000</v>
      </c>
      <c r="J93" t="s">
        <v>212</v>
      </c>
    </row>
    <row r="94" spans="2:11">
      <c r="B94" s="927" t="s">
        <v>2712</v>
      </c>
      <c r="C94">
        <f>TAN(RADIANS(C92))</f>
        <v>0.77261813045656913</v>
      </c>
      <c r="F94">
        <f>TAN(RADIANS(F92))</f>
        <v>0.43266615305567868</v>
      </c>
      <c r="I94">
        <f>TAN(RADIANS(I92))</f>
        <v>0.1201850425154663</v>
      </c>
      <c r="K94" t="s">
        <v>2713</v>
      </c>
    </row>
    <row r="95" spans="2:11">
      <c r="B95" s="927" t="s">
        <v>2714</v>
      </c>
      <c r="C95">
        <f>C94*C93</f>
        <v>3863.0906522828454</v>
      </c>
      <c r="D95" t="s">
        <v>212</v>
      </c>
      <c r="F95">
        <f>F94*F93</f>
        <v>2163.3307652783933</v>
      </c>
      <c r="G95" t="s">
        <v>212</v>
      </c>
      <c r="I95">
        <f>I94*I93</f>
        <v>600.92521257733154</v>
      </c>
      <c r="J95" t="s">
        <v>212</v>
      </c>
      <c r="K95" t="s">
        <v>2715</v>
      </c>
    </row>
    <row r="96" spans="2:11">
      <c r="B96" s="927" t="s">
        <v>2716</v>
      </c>
      <c r="C96">
        <f>C95*2</f>
        <v>7726.1813045656909</v>
      </c>
      <c r="D96" t="s">
        <v>212</v>
      </c>
      <c r="F96">
        <f>F95*2</f>
        <v>4326.6615305567866</v>
      </c>
      <c r="G96" t="s">
        <v>212</v>
      </c>
      <c r="I96">
        <f>I95*2</f>
        <v>1201.8504251546631</v>
      </c>
      <c r="J96" t="s">
        <v>212</v>
      </c>
    </row>
  </sheetData>
  <printOptions gridLines="1" gridLinesSet="0"/>
  <pageMargins left="0.78740157499999996" right="0.78740157499999996" top="0.984251969" bottom="0.984251969" header="0.51181102300000003" footer="0.51181102300000003"/>
  <pageSetup paperSize="9" orientation="landscape" horizontalDpi="300" r:id="rId1"/>
  <headerFooter alignWithMargins="0">
    <oddHeader>&amp;A</oddHeader>
    <oddFooter>Seite &amp;P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9"/>
  <dimension ref="B1:K225"/>
  <sheetViews>
    <sheetView zoomScale="110" zoomScaleNormal="110" workbookViewId="0">
      <selection activeCell="K32" sqref="K32"/>
    </sheetView>
  </sheetViews>
  <sheetFormatPr baseColWidth="10" defaultRowHeight="12.75"/>
  <cols>
    <col min="2" max="2" width="37" customWidth="1"/>
  </cols>
  <sheetData>
    <row r="1" spans="2:2" s="1" customFormat="1"/>
    <row r="2" spans="2:2" s="1" customFormat="1">
      <c r="B2" s="1" t="s">
        <v>2673</v>
      </c>
    </row>
    <row r="3" spans="2:2" s="1" customFormat="1">
      <c r="B3" s="1" t="s">
        <v>2674</v>
      </c>
    </row>
    <row r="4" spans="2:2" s="1" customFormat="1">
      <c r="B4" s="1" t="s">
        <v>2675</v>
      </c>
    </row>
    <row r="5" spans="2:2" s="1" customFormat="1">
      <c r="B5" s="1" t="s">
        <v>2676</v>
      </c>
    </row>
    <row r="6" spans="2:2" s="1" customFormat="1">
      <c r="B6" s="1" t="s">
        <v>2677</v>
      </c>
    </row>
    <row r="7" spans="2:2" s="1" customFormat="1"/>
    <row r="8" spans="2:2" s="1" customFormat="1"/>
    <row r="9" spans="2:2" s="1" customFormat="1"/>
    <row r="10" spans="2:2" s="1" customFormat="1"/>
    <row r="11" spans="2:2" s="1" customFormat="1"/>
    <row r="12" spans="2:2" s="1" customFormat="1"/>
    <row r="13" spans="2:2" s="1" customFormat="1"/>
    <row r="14" spans="2:2" s="1" customFormat="1"/>
    <row r="15" spans="2:2" s="1" customFormat="1"/>
    <row r="16" spans="2:2" s="1" customFormat="1"/>
    <row r="17" spans="2:4" s="1" customFormat="1"/>
    <row r="18" spans="2:4" s="1" customFormat="1"/>
    <row r="19" spans="2:4" s="1" customFormat="1"/>
    <row r="21" spans="2:4">
      <c r="B21" s="298" t="s">
        <v>2678</v>
      </c>
    </row>
    <row r="23" spans="2:4">
      <c r="B23" s="56" t="s">
        <v>2679</v>
      </c>
      <c r="C23" s="681">
        <v>126</v>
      </c>
      <c r="D23" t="s">
        <v>212</v>
      </c>
    </row>
    <row r="24" spans="2:4">
      <c r="B24" s="56" t="s">
        <v>1588</v>
      </c>
      <c r="C24" s="681">
        <v>21</v>
      </c>
      <c r="D24" t="s">
        <v>212</v>
      </c>
    </row>
    <row r="25" spans="2:4">
      <c r="B25" s="56"/>
    </row>
    <row r="26" spans="2:4">
      <c r="B26" s="56" t="s">
        <v>2680</v>
      </c>
      <c r="C26">
        <f>C23/C24</f>
        <v>6</v>
      </c>
    </row>
    <row r="27" spans="2:4">
      <c r="B27" s="56" t="s">
        <v>2595</v>
      </c>
      <c r="C27" s="58">
        <f>1/(C26-1)</f>
        <v>0.2</v>
      </c>
    </row>
    <row r="28" spans="2:4">
      <c r="B28" s="56"/>
    </row>
    <row r="29" spans="2:4">
      <c r="B29" s="56" t="s">
        <v>2537</v>
      </c>
      <c r="C29">
        <f>C24+C24*C27</f>
        <v>25.2</v>
      </c>
      <c r="D29" t="s">
        <v>212</v>
      </c>
    </row>
    <row r="30" spans="2:4">
      <c r="B30" s="56"/>
    </row>
    <row r="31" spans="2:4">
      <c r="B31" s="496" t="s">
        <v>2681</v>
      </c>
    </row>
    <row r="32" spans="2:4">
      <c r="B32" s="56"/>
    </row>
    <row r="33" spans="2:11">
      <c r="B33" s="56" t="s">
        <v>1963</v>
      </c>
      <c r="C33" s="681">
        <v>70</v>
      </c>
      <c r="D33" t="s">
        <v>1846</v>
      </c>
    </row>
    <row r="34" spans="2:11">
      <c r="B34" s="56" t="s">
        <v>2682</v>
      </c>
      <c r="C34">
        <f>C33/2</f>
        <v>35</v>
      </c>
      <c r="D34" t="s">
        <v>1846</v>
      </c>
    </row>
    <row r="35" spans="2:11">
      <c r="G35" t="s">
        <v>2683</v>
      </c>
    </row>
    <row r="36" spans="2:11">
      <c r="B36" s="56" t="s">
        <v>2684</v>
      </c>
      <c r="C36" s="58">
        <f>TAN(RADIANS(C34))*C29</f>
        <v>17.645229962884684</v>
      </c>
      <c r="D36" t="s">
        <v>212</v>
      </c>
    </row>
    <row r="37" spans="2:11">
      <c r="B37" s="56" t="s">
        <v>2685</v>
      </c>
      <c r="C37" s="58">
        <f>C36*2</f>
        <v>35.290459925769369</v>
      </c>
      <c r="D37" t="s">
        <v>212</v>
      </c>
    </row>
    <row r="40" spans="2:11">
      <c r="B40" s="298" t="s">
        <v>2686</v>
      </c>
    </row>
    <row r="41" spans="2:11">
      <c r="H41" s="8" t="s">
        <v>2742</v>
      </c>
    </row>
    <row r="42" spans="2:11">
      <c r="B42" s="56" t="s">
        <v>2687</v>
      </c>
      <c r="C42" s="681">
        <v>12</v>
      </c>
      <c r="D42" t="s">
        <v>212</v>
      </c>
    </row>
    <row r="43" spans="2:11">
      <c r="B43" s="56" t="s">
        <v>2688</v>
      </c>
      <c r="C43" s="681">
        <v>9</v>
      </c>
      <c r="D43" t="s">
        <v>212</v>
      </c>
    </row>
    <row r="44" spans="2:11">
      <c r="B44" s="56" t="s">
        <v>2689</v>
      </c>
      <c r="C44">
        <f>SQRT(C42^2+C43^2)</f>
        <v>15</v>
      </c>
      <c r="D44" t="s">
        <v>212</v>
      </c>
    </row>
    <row r="45" spans="2:11">
      <c r="B45" s="56"/>
    </row>
    <row r="46" spans="2:11">
      <c r="B46" s="56" t="s">
        <v>2690</v>
      </c>
      <c r="C46" s="57">
        <f>(C37-C44)/2</f>
        <v>10.145229962884684</v>
      </c>
      <c r="D46" t="s">
        <v>212</v>
      </c>
    </row>
    <row r="48" spans="2:11">
      <c r="J48" s="32"/>
      <c r="K48" s="32"/>
    </row>
    <row r="49" spans="2:11">
      <c r="B49" s="298" t="s">
        <v>2691</v>
      </c>
      <c r="H49" s="8" t="s">
        <v>2739</v>
      </c>
      <c r="J49" s="374"/>
      <c r="K49" s="374"/>
    </row>
    <row r="50" spans="2:11">
      <c r="H50" s="1" t="s">
        <v>2740</v>
      </c>
      <c r="J50" s="374"/>
      <c r="K50" s="374"/>
    </row>
    <row r="51" spans="2:11">
      <c r="B51" s="56" t="s">
        <v>2692</v>
      </c>
      <c r="C51">
        <f>C43/2</f>
        <v>4.5</v>
      </c>
      <c r="D51" t="s">
        <v>212</v>
      </c>
      <c r="H51" s="1" t="s">
        <v>2741</v>
      </c>
      <c r="J51" s="374"/>
      <c r="K51" s="374"/>
    </row>
    <row r="52" spans="2:11">
      <c r="B52" s="56" t="s">
        <v>2693</v>
      </c>
      <c r="C52" s="58">
        <f>C36</f>
        <v>17.645229962884684</v>
      </c>
      <c r="D52" t="s">
        <v>212</v>
      </c>
      <c r="J52" s="374"/>
      <c r="K52" s="374"/>
    </row>
    <row r="53" spans="2:11">
      <c r="B53" s="56" t="s">
        <v>2694</v>
      </c>
      <c r="C53" s="57">
        <f>SQRT(C52^2-C51^2)</f>
        <v>17.061774246633423</v>
      </c>
      <c r="D53" t="s">
        <v>212</v>
      </c>
      <c r="J53" s="374"/>
      <c r="K53" s="374"/>
    </row>
    <row r="54" spans="2:11">
      <c r="B54" s="56"/>
      <c r="J54" s="374"/>
      <c r="K54" s="374"/>
    </row>
    <row r="55" spans="2:11">
      <c r="B55" s="56" t="s">
        <v>2695</v>
      </c>
      <c r="C55">
        <f>C42/2</f>
        <v>6</v>
      </c>
      <c r="D55" t="s">
        <v>212</v>
      </c>
      <c r="J55" s="374"/>
      <c r="K55" s="374"/>
    </row>
    <row r="56" spans="2:11">
      <c r="B56" s="56"/>
      <c r="J56" s="32"/>
      <c r="K56" s="32"/>
    </row>
    <row r="57" spans="2:11">
      <c r="B57" s="56" t="s">
        <v>2696</v>
      </c>
      <c r="C57" s="57">
        <f>C53-C55</f>
        <v>11.061774246633423</v>
      </c>
      <c r="D57" t="s">
        <v>212</v>
      </c>
      <c r="J57" s="32"/>
      <c r="K57" s="32"/>
    </row>
    <row r="58" spans="2:11">
      <c r="B58" s="56"/>
    </row>
    <row r="59" spans="2:11">
      <c r="B59" s="56"/>
    </row>
    <row r="60" spans="2:11">
      <c r="B60" s="56"/>
    </row>
    <row r="61" spans="2:11">
      <c r="B61" s="440" t="s">
        <v>2697</v>
      </c>
      <c r="H61" s="8" t="s">
        <v>2736</v>
      </c>
    </row>
    <row r="62" spans="2:11">
      <c r="H62" s="1" t="s">
        <v>2737</v>
      </c>
    </row>
    <row r="63" spans="2:11">
      <c r="B63" s="56" t="s">
        <v>2698</v>
      </c>
      <c r="C63" s="57">
        <f>SQRT(C52^2-C55^2)</f>
        <v>16.593798252452132</v>
      </c>
      <c r="D63" t="s">
        <v>212</v>
      </c>
      <c r="H63" s="1" t="s">
        <v>2738</v>
      </c>
    </row>
    <row r="64" spans="2:11">
      <c r="B64" s="56"/>
    </row>
    <row r="65" spans="2:4">
      <c r="B65" s="56" t="s">
        <v>2699</v>
      </c>
      <c r="C65" s="57">
        <f>C63-C51</f>
        <v>12.093798252452132</v>
      </c>
      <c r="D65" t="s">
        <v>212</v>
      </c>
    </row>
    <row r="66" spans="2:4">
      <c r="B66" s="56"/>
    </row>
    <row r="67" spans="2:4">
      <c r="B67" s="56"/>
    </row>
    <row r="68" spans="2:4">
      <c r="B68" s="56"/>
    </row>
    <row r="69" spans="2:4">
      <c r="B69" s="56"/>
    </row>
    <row r="70" spans="2:4">
      <c r="B70" s="56"/>
    </row>
    <row r="71" spans="2:4">
      <c r="B71" s="56"/>
    </row>
    <row r="72" spans="2:4">
      <c r="B72" s="56"/>
    </row>
    <row r="73" spans="2:4">
      <c r="B73" s="56"/>
    </row>
    <row r="80" spans="2:4" ht="15">
      <c r="B80" s="929" t="s">
        <v>2717</v>
      </c>
    </row>
    <row r="81" spans="2:8" ht="15">
      <c r="B81" s="929" t="s">
        <v>2718</v>
      </c>
    </row>
    <row r="82" spans="2:8" ht="15">
      <c r="B82" s="929" t="s">
        <v>2719</v>
      </c>
    </row>
    <row r="83" spans="2:8" ht="15">
      <c r="B83" s="929" t="s">
        <v>2720</v>
      </c>
    </row>
    <row r="85" spans="2:8" ht="15">
      <c r="B85" s="930" t="s">
        <v>1959</v>
      </c>
      <c r="C85" s="326">
        <v>160</v>
      </c>
      <c r="D85" t="s">
        <v>344</v>
      </c>
    </row>
    <row r="86" spans="2:8" ht="15">
      <c r="B86" s="930" t="s">
        <v>1963</v>
      </c>
      <c r="C86" s="326">
        <v>70</v>
      </c>
      <c r="D86" t="s">
        <v>1846</v>
      </c>
    </row>
    <row r="87" spans="2:8" ht="15">
      <c r="B87" s="930" t="s">
        <v>1773</v>
      </c>
      <c r="C87" s="326">
        <v>80</v>
      </c>
      <c r="D87" t="s">
        <v>344</v>
      </c>
    </row>
    <row r="89" spans="2:8" ht="15">
      <c r="B89" s="930" t="s">
        <v>2595</v>
      </c>
      <c r="C89">
        <f>1/(C85/C87-1)</f>
        <v>1</v>
      </c>
      <c r="E89" t="s">
        <v>2721</v>
      </c>
      <c r="F89" s="369">
        <f>1/C89</f>
        <v>1</v>
      </c>
    </row>
    <row r="90" spans="2:8" ht="15">
      <c r="B90" s="930" t="s">
        <v>2537</v>
      </c>
      <c r="C90" s="58">
        <f>C87+C87*C89</f>
        <v>160</v>
      </c>
      <c r="D90" t="s">
        <v>344</v>
      </c>
    </row>
    <row r="92" spans="2:8" ht="15">
      <c r="B92" s="930" t="s">
        <v>2722</v>
      </c>
      <c r="C92">
        <f>TAN(RADIANS(C86/2))*C90</f>
        <v>112.03320611355355</v>
      </c>
      <c r="D92" t="s">
        <v>344</v>
      </c>
      <c r="H92" t="s">
        <v>2723</v>
      </c>
    </row>
    <row r="93" spans="2:8" ht="15">
      <c r="B93" s="930" t="s">
        <v>2724</v>
      </c>
      <c r="C93">
        <f>C92*2</f>
        <v>224.06641222710709</v>
      </c>
      <c r="D93" t="s">
        <v>344</v>
      </c>
      <c r="H93" t="s">
        <v>2725</v>
      </c>
    </row>
    <row r="96" spans="2:8">
      <c r="B96" t="s">
        <v>2726</v>
      </c>
    </row>
    <row r="98" spans="2:6">
      <c r="B98" t="s">
        <v>2727</v>
      </c>
      <c r="C98" s="32">
        <f>C93</f>
        <v>224.06641222710709</v>
      </c>
      <c r="D98" t="s">
        <v>344</v>
      </c>
    </row>
    <row r="99" spans="2:6">
      <c r="B99" t="s">
        <v>317</v>
      </c>
      <c r="C99" s="326">
        <v>90</v>
      </c>
      <c r="D99" t="s">
        <v>344</v>
      </c>
    </row>
    <row r="100" spans="2:6">
      <c r="B100" t="s">
        <v>318</v>
      </c>
      <c r="C100" s="326">
        <v>60</v>
      </c>
      <c r="D100" t="s">
        <v>344</v>
      </c>
    </row>
    <row r="102" spans="2:6">
      <c r="B102" t="s">
        <v>211</v>
      </c>
      <c r="C102">
        <f>C98/2</f>
        <v>112.03320611355355</v>
      </c>
      <c r="D102" t="s">
        <v>344</v>
      </c>
    </row>
    <row r="103" spans="2:6">
      <c r="B103" t="s">
        <v>2695</v>
      </c>
      <c r="C103">
        <f>C99/2</f>
        <v>45</v>
      </c>
      <c r="D103" t="s">
        <v>344</v>
      </c>
    </row>
    <row r="104" spans="2:6">
      <c r="B104" t="s">
        <v>2692</v>
      </c>
      <c r="C104">
        <f>C100/2</f>
        <v>30</v>
      </c>
      <c r="D104" t="s">
        <v>344</v>
      </c>
    </row>
    <row r="106" spans="2:6">
      <c r="B106" t="s">
        <v>2728</v>
      </c>
      <c r="C106">
        <f>SQRT(C102^2-C104^2)</f>
        <v>107.94183281787451</v>
      </c>
      <c r="D106" t="s">
        <v>344</v>
      </c>
    </row>
    <row r="107" spans="2:6">
      <c r="F107" t="s">
        <v>2729</v>
      </c>
    </row>
    <row r="108" spans="2:6">
      <c r="B108" s="496" t="s">
        <v>2730</v>
      </c>
      <c r="C108" s="931">
        <f>C106-C103</f>
        <v>62.941832817874513</v>
      </c>
      <c r="D108" s="298" t="s">
        <v>344</v>
      </c>
    </row>
    <row r="110" spans="2:6">
      <c r="B110" t="s">
        <v>2731</v>
      </c>
    </row>
    <row r="112" spans="2:6">
      <c r="B112" t="s">
        <v>2732</v>
      </c>
      <c r="C112">
        <f>SQRT(C102^2-C103^2)</f>
        <v>102.59843698654464</v>
      </c>
      <c r="D112" t="s">
        <v>344</v>
      </c>
    </row>
    <row r="114" spans="2:8">
      <c r="B114" s="496" t="s">
        <v>2733</v>
      </c>
      <c r="C114" s="931">
        <f>C112-C104</f>
        <v>72.598436986544641</v>
      </c>
      <c r="D114" s="298" t="s">
        <v>344</v>
      </c>
    </row>
    <row r="116" spans="2:8">
      <c r="B116" t="s">
        <v>2734</v>
      </c>
    </row>
    <row r="118" spans="2:8">
      <c r="B118" t="s">
        <v>2705</v>
      </c>
      <c r="C118">
        <f>SQRT(C99^2+C100^2)</f>
        <v>108.16653826391968</v>
      </c>
      <c r="D118" t="s">
        <v>344</v>
      </c>
    </row>
    <row r="120" spans="2:8">
      <c r="B120" s="496" t="s">
        <v>2735</v>
      </c>
      <c r="C120" s="931">
        <f>(C98-C118)/2</f>
        <v>57.949936981593709</v>
      </c>
      <c r="D120" s="298" t="s">
        <v>344</v>
      </c>
    </row>
    <row r="126" spans="2:8">
      <c r="B126" s="1"/>
      <c r="C126" s="1"/>
      <c r="D126" s="1"/>
      <c r="E126" s="1"/>
      <c r="F126" s="1"/>
      <c r="G126" s="1"/>
      <c r="H126" s="1"/>
    </row>
    <row r="127" spans="2:8">
      <c r="B127" s="1" t="s">
        <v>2743</v>
      </c>
      <c r="C127" s="1"/>
      <c r="D127" s="1"/>
      <c r="E127" s="1"/>
      <c r="F127" s="1"/>
      <c r="G127" s="1"/>
      <c r="H127" s="1"/>
    </row>
    <row r="128" spans="2:8">
      <c r="B128" s="1" t="s">
        <v>2744</v>
      </c>
      <c r="C128" s="1"/>
      <c r="D128" s="1"/>
      <c r="E128" s="1"/>
      <c r="F128" s="1"/>
      <c r="G128" s="1"/>
      <c r="H128" s="1"/>
    </row>
    <row r="129" spans="2:8">
      <c r="B129" s="1" t="s">
        <v>2745</v>
      </c>
      <c r="C129" s="1"/>
      <c r="D129" s="1"/>
      <c r="E129" s="1"/>
      <c r="F129" s="1"/>
      <c r="G129" s="1"/>
      <c r="H129" s="1"/>
    </row>
    <row r="130" spans="2:8">
      <c r="B130" s="1" t="s">
        <v>2746</v>
      </c>
      <c r="C130" s="1"/>
      <c r="D130" s="1"/>
      <c r="E130" s="1"/>
      <c r="F130" s="1"/>
      <c r="G130" s="1"/>
      <c r="H130" s="1"/>
    </row>
    <row r="131" spans="2:8">
      <c r="B131" s="1"/>
      <c r="C131" s="1"/>
      <c r="D131" s="1"/>
      <c r="E131" s="1"/>
      <c r="F131" s="1"/>
      <c r="G131" s="1"/>
      <c r="H131" s="1"/>
    </row>
    <row r="132" spans="2:8">
      <c r="B132" s="1"/>
      <c r="C132" s="1"/>
      <c r="D132" s="1"/>
      <c r="E132" s="1"/>
      <c r="F132" s="1"/>
      <c r="G132" s="1"/>
      <c r="H132" s="1"/>
    </row>
    <row r="133" spans="2:8">
      <c r="B133" s="165" t="s">
        <v>2747</v>
      </c>
      <c r="C133" s="326">
        <v>15</v>
      </c>
      <c r="D133" s="1"/>
      <c r="E133" s="1"/>
      <c r="F133" s="1"/>
      <c r="G133" s="1"/>
      <c r="H133" s="1"/>
    </row>
    <row r="134" spans="2:8">
      <c r="B134" s="165" t="s">
        <v>2748</v>
      </c>
      <c r="C134" s="326">
        <v>165</v>
      </c>
      <c r="D134" s="1"/>
      <c r="E134" s="1"/>
      <c r="F134" s="1"/>
      <c r="G134" s="1"/>
      <c r="H134" s="1"/>
    </row>
    <row r="135" spans="2:8">
      <c r="B135" s="165" t="s">
        <v>2749</v>
      </c>
      <c r="C135" s="326">
        <v>10</v>
      </c>
      <c r="D135" s="1"/>
      <c r="E135" s="1"/>
      <c r="F135" s="1"/>
      <c r="G135" s="1"/>
      <c r="H135" s="1"/>
    </row>
    <row r="136" spans="2:8">
      <c r="B136" s="165" t="s">
        <v>2750</v>
      </c>
      <c r="C136" s="326">
        <v>15</v>
      </c>
      <c r="D136" s="1"/>
      <c r="E136" s="1"/>
      <c r="F136" s="1"/>
      <c r="G136" s="1"/>
      <c r="H136" s="1"/>
    </row>
    <row r="137" spans="2:8">
      <c r="B137" s="165" t="s">
        <v>2660</v>
      </c>
      <c r="C137" s="326">
        <v>70</v>
      </c>
      <c r="D137" s="1"/>
      <c r="E137" s="1"/>
      <c r="F137" s="1"/>
      <c r="G137" s="1"/>
      <c r="H137" s="1"/>
    </row>
    <row r="138" spans="2:8">
      <c r="B138" s="165"/>
      <c r="C138" s="1"/>
      <c r="D138" s="1"/>
      <c r="E138" s="1"/>
      <c r="F138" s="1"/>
      <c r="G138" s="1"/>
      <c r="H138" s="1"/>
    </row>
    <row r="139" spans="2:8">
      <c r="B139" s="932" t="s">
        <v>2751</v>
      </c>
      <c r="C139" s="1">
        <f>C134/C133</f>
        <v>11</v>
      </c>
      <c r="D139" s="1"/>
      <c r="E139" s="1"/>
      <c r="F139" s="1" t="s">
        <v>2752</v>
      </c>
      <c r="G139" s="1"/>
      <c r="H139" s="1"/>
    </row>
    <row r="140" spans="2:8">
      <c r="B140" s="932" t="s">
        <v>2753</v>
      </c>
      <c r="C140" s="1">
        <f>C133</f>
        <v>15</v>
      </c>
      <c r="D140" s="1">
        <f>C140/C133</f>
        <v>1</v>
      </c>
      <c r="E140" s="1" t="s">
        <v>2494</v>
      </c>
      <c r="F140" s="1" t="s">
        <v>2754</v>
      </c>
      <c r="G140" s="1"/>
      <c r="H140" s="1"/>
    </row>
    <row r="141" spans="2:8">
      <c r="B141" s="932" t="s">
        <v>2755</v>
      </c>
      <c r="C141" s="1">
        <f>C134-C133</f>
        <v>150</v>
      </c>
      <c r="D141" s="373">
        <f>C141/C133</f>
        <v>10</v>
      </c>
      <c r="E141" s="1" t="s">
        <v>2494</v>
      </c>
      <c r="F141" s="1"/>
      <c r="G141" s="1"/>
      <c r="H141" s="1"/>
    </row>
    <row r="142" spans="2:8">
      <c r="B142" s="165"/>
      <c r="C142" s="1"/>
      <c r="D142" s="1"/>
      <c r="E142" s="1"/>
      <c r="F142" s="1"/>
      <c r="G142" s="1"/>
      <c r="H142" s="1"/>
    </row>
    <row r="143" spans="2:8">
      <c r="B143" s="933" t="s">
        <v>2756</v>
      </c>
      <c r="C143" s="1"/>
      <c r="D143" s="1"/>
      <c r="E143" s="1"/>
      <c r="F143" s="1"/>
      <c r="G143" s="1"/>
      <c r="H143" s="1"/>
    </row>
    <row r="144" spans="2:8">
      <c r="B144" s="933" t="s">
        <v>2757</v>
      </c>
      <c r="C144" s="1">
        <v>1</v>
      </c>
      <c r="D144" s="284">
        <f>C144*C133</f>
        <v>15</v>
      </c>
      <c r="E144" s="1" t="s">
        <v>212</v>
      </c>
      <c r="F144" s="1"/>
      <c r="G144" s="1"/>
      <c r="H144" s="1"/>
    </row>
    <row r="145" spans="2:8">
      <c r="B145" s="933" t="s">
        <v>2758</v>
      </c>
      <c r="C145" s="1">
        <f>1/D141</f>
        <v>0.1</v>
      </c>
      <c r="D145" s="934">
        <f>C145*C133</f>
        <v>1.5</v>
      </c>
      <c r="E145" s="11" t="s">
        <v>212</v>
      </c>
      <c r="F145" s="1"/>
      <c r="G145" s="1"/>
      <c r="H145" s="1"/>
    </row>
    <row r="146" spans="2:8">
      <c r="B146" s="226" t="s">
        <v>2759</v>
      </c>
      <c r="C146" s="11"/>
      <c r="D146" s="934">
        <f>D144+D145</f>
        <v>16.5</v>
      </c>
      <c r="E146" s="11" t="s">
        <v>212</v>
      </c>
      <c r="F146" s="1"/>
      <c r="G146" s="1"/>
      <c r="H146" s="1"/>
    </row>
    <row r="147" spans="2:8">
      <c r="B147" s="165"/>
      <c r="C147" s="1"/>
      <c r="D147" s="1"/>
      <c r="E147" s="1"/>
      <c r="F147" s="1"/>
      <c r="G147" s="1"/>
      <c r="H147" s="1"/>
    </row>
    <row r="148" spans="2:8">
      <c r="B148" s="165" t="s">
        <v>2760</v>
      </c>
      <c r="C148" s="1"/>
      <c r="D148" s="1"/>
      <c r="E148" s="1"/>
      <c r="F148" s="1"/>
      <c r="G148" s="1"/>
      <c r="H148" s="1"/>
    </row>
    <row r="149" spans="2:8">
      <c r="B149" s="165"/>
      <c r="C149" s="1"/>
      <c r="D149" s="1"/>
      <c r="E149" s="1"/>
      <c r="F149" s="1"/>
      <c r="G149" s="1"/>
      <c r="H149" s="1"/>
    </row>
    <row r="150" spans="2:8">
      <c r="B150" s="165" t="s">
        <v>2761</v>
      </c>
      <c r="C150" s="1">
        <f>C137/2</f>
        <v>35</v>
      </c>
      <c r="D150" s="1"/>
      <c r="E150" s="1"/>
      <c r="F150" s="1"/>
      <c r="G150" s="1"/>
      <c r="H150" s="1"/>
    </row>
    <row r="151" spans="2:8">
      <c r="B151" s="165" t="s">
        <v>1938</v>
      </c>
      <c r="C151" s="1">
        <f>RADIANS(C150)</f>
        <v>0.6108652381980153</v>
      </c>
      <c r="D151" s="1"/>
      <c r="E151" s="1"/>
      <c r="F151" s="1"/>
      <c r="G151" s="1"/>
      <c r="H151" s="1"/>
    </row>
    <row r="152" spans="2:8">
      <c r="B152" s="165" t="s">
        <v>2669</v>
      </c>
      <c r="C152" s="1">
        <f>TAN(C151)</f>
        <v>0.70020753820970971</v>
      </c>
      <c r="D152" s="1"/>
      <c r="E152" s="1"/>
      <c r="F152" s="1"/>
      <c r="G152" s="1"/>
      <c r="H152" s="1"/>
    </row>
    <row r="153" spans="2:8">
      <c r="B153" s="165"/>
      <c r="C153" s="1"/>
      <c r="D153" s="1"/>
      <c r="E153" s="1"/>
      <c r="F153" s="1"/>
      <c r="G153" s="1"/>
      <c r="H153" s="1"/>
    </row>
    <row r="154" spans="2:8">
      <c r="B154" s="165" t="s">
        <v>2762</v>
      </c>
      <c r="C154" s="1">
        <f>C152*D146</f>
        <v>11.553424380460211</v>
      </c>
      <c r="D154" s="1"/>
      <c r="E154" s="1"/>
      <c r="F154" s="1" t="s">
        <v>2763</v>
      </c>
      <c r="G154" s="1"/>
      <c r="H154" s="1"/>
    </row>
    <row r="155" spans="2:8">
      <c r="B155" s="226" t="s">
        <v>2764</v>
      </c>
      <c r="C155" s="11">
        <f>C154*2</f>
        <v>23.106848760920421</v>
      </c>
      <c r="D155" s="11"/>
      <c r="E155" s="11"/>
      <c r="F155" s="1"/>
      <c r="G155" s="1"/>
      <c r="H155" s="1"/>
    </row>
    <row r="156" spans="2:8">
      <c r="B156" s="165"/>
      <c r="C156" s="1"/>
      <c r="D156" s="1"/>
      <c r="E156" s="1"/>
      <c r="F156" s="1"/>
      <c r="G156" s="1"/>
      <c r="H156" s="1"/>
    </row>
    <row r="157" spans="2:8">
      <c r="B157" s="165" t="s">
        <v>2765</v>
      </c>
      <c r="C157" s="1"/>
      <c r="D157" s="1"/>
      <c r="E157" s="1"/>
      <c r="F157" s="1"/>
      <c r="G157" s="1"/>
      <c r="H157" s="1"/>
    </row>
    <row r="158" spans="2:8">
      <c r="B158" s="165"/>
      <c r="C158" s="1"/>
      <c r="D158" s="1"/>
      <c r="E158" s="1"/>
      <c r="F158" s="1"/>
      <c r="G158" s="1"/>
      <c r="H158" s="1"/>
    </row>
    <row r="159" spans="2:8">
      <c r="B159" s="165" t="s">
        <v>2766</v>
      </c>
      <c r="C159" s="1">
        <f>SQRT(C135^2+C136^2)</f>
        <v>18.027756377319946</v>
      </c>
      <c r="D159" s="1"/>
      <c r="E159" s="1"/>
      <c r="F159" s="1" t="s">
        <v>2767</v>
      </c>
      <c r="G159" s="1"/>
      <c r="H159" s="1"/>
    </row>
    <row r="160" spans="2:8">
      <c r="B160" s="165"/>
      <c r="C160" s="1"/>
      <c r="D160" s="1"/>
      <c r="E160" s="1"/>
      <c r="F160" s="1"/>
      <c r="G160" s="1" t="s">
        <v>2768</v>
      </c>
      <c r="H160" s="1"/>
    </row>
    <row r="161" spans="2:8">
      <c r="B161" s="165" t="s">
        <v>2769</v>
      </c>
      <c r="C161" s="1">
        <f>C155-C159</f>
        <v>5.0790923836004751</v>
      </c>
      <c r="D161" s="1"/>
      <c r="E161" s="1"/>
      <c r="F161" s="1"/>
      <c r="G161" s="1"/>
      <c r="H161" s="1"/>
    </row>
    <row r="162" spans="2:8">
      <c r="B162" s="226" t="s">
        <v>2770</v>
      </c>
      <c r="C162" s="11">
        <f>C161/2</f>
        <v>2.5395461918002376</v>
      </c>
      <c r="D162" s="11"/>
      <c r="E162" s="11"/>
      <c r="F162" s="1"/>
      <c r="G162" s="1"/>
      <c r="H162" s="1"/>
    </row>
    <row r="163" spans="2:8">
      <c r="B163" s="165"/>
      <c r="C163" s="1"/>
      <c r="D163" s="1"/>
      <c r="E163" s="1"/>
      <c r="F163" s="1"/>
      <c r="G163" s="1"/>
      <c r="H163" s="1"/>
    </row>
    <row r="164" spans="2:8">
      <c r="B164" s="165"/>
      <c r="C164" s="1"/>
      <c r="D164" s="1"/>
      <c r="E164" s="1"/>
      <c r="F164" s="1" t="s">
        <v>2771</v>
      </c>
      <c r="G164" s="1"/>
      <c r="H164" s="1"/>
    </row>
    <row r="165" spans="2:8">
      <c r="B165" s="165" t="s">
        <v>2772</v>
      </c>
      <c r="C165" s="1">
        <f>SQRT(C154^2 - (C136/2)^2)</f>
        <v>8.7881519624442319</v>
      </c>
      <c r="D165" s="1"/>
      <c r="E165" s="1"/>
      <c r="F165" s="1" t="s">
        <v>2773</v>
      </c>
      <c r="G165" s="1"/>
      <c r="H165" s="1"/>
    </row>
    <row r="166" spans="2:8">
      <c r="B166" s="165"/>
      <c r="C166" s="1"/>
      <c r="D166" s="1"/>
      <c r="E166" s="1"/>
      <c r="F166" s="1"/>
      <c r="G166" s="1"/>
      <c r="H166" s="1"/>
    </row>
    <row r="167" spans="2:8">
      <c r="B167" s="226" t="s">
        <v>2774</v>
      </c>
      <c r="C167" s="11">
        <f>C165-C135/2</f>
        <v>3.7881519624442319</v>
      </c>
      <c r="D167" s="11"/>
      <c r="E167" s="11"/>
      <c r="F167" s="1" t="s">
        <v>2775</v>
      </c>
      <c r="G167" s="1"/>
      <c r="H167" s="1"/>
    </row>
    <row r="168" spans="2:8">
      <c r="B168" s="165"/>
      <c r="C168" s="1"/>
      <c r="D168" s="1"/>
      <c r="E168" s="1"/>
      <c r="F168" s="1"/>
      <c r="G168" s="1"/>
      <c r="H168" s="1"/>
    </row>
    <row r="169" spans="2:8">
      <c r="B169" s="165"/>
      <c r="C169" s="1"/>
      <c r="D169" s="1"/>
      <c r="E169" s="1"/>
      <c r="F169" s="1"/>
      <c r="G169" s="1"/>
      <c r="H169" s="1"/>
    </row>
    <row r="170" spans="2:8">
      <c r="B170" s="165" t="s">
        <v>2772</v>
      </c>
      <c r="C170" s="1">
        <f>SQRT(C154^2 - (C135/2)^2)</f>
        <v>10.415450778291472</v>
      </c>
      <c r="D170" s="1"/>
      <c r="E170" s="1"/>
      <c r="F170" s="1"/>
      <c r="G170" s="1"/>
      <c r="H170" s="1"/>
    </row>
    <row r="171" spans="2:8">
      <c r="B171" s="165"/>
      <c r="C171" s="1"/>
      <c r="D171" s="1"/>
      <c r="E171" s="1"/>
      <c r="F171" s="1"/>
      <c r="G171" s="1"/>
      <c r="H171" s="1"/>
    </row>
    <row r="172" spans="2:8">
      <c r="B172" s="226" t="s">
        <v>2776</v>
      </c>
      <c r="C172" s="11">
        <f>C170-C136/2</f>
        <v>2.915450778291472</v>
      </c>
      <c r="D172" s="11"/>
      <c r="E172" s="11"/>
      <c r="F172" s="1"/>
      <c r="G172" s="1"/>
      <c r="H172" s="1"/>
    </row>
    <row r="173" spans="2:8">
      <c r="B173" s="165"/>
      <c r="C173" s="1"/>
      <c r="D173" s="1"/>
      <c r="E173" s="1"/>
      <c r="F173" s="1"/>
      <c r="G173" s="1"/>
      <c r="H173" s="1"/>
    </row>
    <row r="179" spans="2:11">
      <c r="B179" s="1" t="s">
        <v>2777</v>
      </c>
      <c r="C179" s="1"/>
      <c r="D179" s="1"/>
      <c r="E179" s="1"/>
      <c r="F179" s="1"/>
      <c r="G179" s="1"/>
      <c r="H179" s="1"/>
      <c r="I179" s="1"/>
      <c r="J179" s="1"/>
      <c r="K179" s="1"/>
    </row>
    <row r="180" spans="2:11">
      <c r="B180" s="1" t="s">
        <v>2778</v>
      </c>
      <c r="C180" s="1"/>
      <c r="D180" s="1"/>
      <c r="E180" s="1"/>
      <c r="F180" s="1"/>
      <c r="G180" s="1"/>
      <c r="H180" s="1"/>
      <c r="I180" s="1"/>
      <c r="J180" s="1"/>
      <c r="K180" s="1"/>
    </row>
    <row r="181" spans="2:11">
      <c r="B181" s="1" t="s">
        <v>2784</v>
      </c>
      <c r="C181" s="1"/>
      <c r="D181" s="1"/>
      <c r="E181" s="1"/>
      <c r="F181" s="1"/>
      <c r="G181" s="1"/>
      <c r="H181" s="1"/>
      <c r="I181" s="1"/>
      <c r="J181" s="1"/>
      <c r="K181" s="1"/>
    </row>
    <row r="182" spans="2:11">
      <c r="B182" s="1" t="s">
        <v>2779</v>
      </c>
      <c r="C182" s="1"/>
      <c r="D182" s="1"/>
      <c r="E182" s="1"/>
      <c r="F182" s="1"/>
      <c r="G182" s="1"/>
      <c r="H182" s="1"/>
      <c r="I182" s="1"/>
      <c r="J182" s="1"/>
      <c r="K182" s="1"/>
    </row>
    <row r="183" spans="2:11">
      <c r="B183" s="1"/>
      <c r="C183" s="1"/>
      <c r="D183" s="1"/>
      <c r="E183" s="1"/>
      <c r="F183" s="1"/>
      <c r="G183" s="1"/>
      <c r="H183" s="1"/>
      <c r="I183" s="1"/>
      <c r="J183" s="1"/>
      <c r="K183" s="1"/>
    </row>
    <row r="184" spans="2:11">
      <c r="B184" s="1"/>
      <c r="C184" s="1"/>
      <c r="D184" s="165" t="s">
        <v>2780</v>
      </c>
      <c r="E184" s="326">
        <v>190</v>
      </c>
      <c r="F184" s="1"/>
      <c r="G184" s="1"/>
      <c r="H184" s="1"/>
      <c r="I184" s="1"/>
      <c r="J184" s="1"/>
      <c r="K184" s="1"/>
    </row>
    <row r="185" spans="2:11">
      <c r="B185" s="1"/>
      <c r="C185" s="1"/>
      <c r="D185" s="165" t="s">
        <v>2781</v>
      </c>
      <c r="E185" s="326">
        <v>3.8</v>
      </c>
      <c r="F185" s="1"/>
      <c r="G185" s="1"/>
      <c r="H185" s="1"/>
      <c r="I185" s="1"/>
      <c r="J185" s="1"/>
      <c r="K185" s="1"/>
    </row>
    <row r="186" spans="2:11">
      <c r="B186" s="1"/>
      <c r="C186" s="1"/>
      <c r="D186" s="165" t="s">
        <v>2747</v>
      </c>
      <c r="E186" s="326">
        <v>15</v>
      </c>
      <c r="F186" s="1"/>
      <c r="G186" s="1"/>
      <c r="H186" s="1"/>
      <c r="I186" s="1"/>
      <c r="J186" s="1"/>
      <c r="K186" s="1"/>
    </row>
    <row r="187" spans="2:11">
      <c r="B187" s="1"/>
      <c r="C187" s="1"/>
      <c r="D187" s="1"/>
      <c r="E187" s="1"/>
      <c r="F187" s="1"/>
      <c r="G187" s="1"/>
      <c r="H187" s="1"/>
      <c r="I187" s="1"/>
      <c r="J187" s="1"/>
      <c r="K187" s="1"/>
    </row>
    <row r="188" spans="2:11">
      <c r="B188" s="1"/>
      <c r="C188" s="1"/>
      <c r="D188" s="165" t="s">
        <v>2749</v>
      </c>
      <c r="E188" s="326">
        <v>5</v>
      </c>
      <c r="F188" s="1"/>
      <c r="G188" s="1"/>
      <c r="H188" s="1"/>
      <c r="I188" s="1"/>
      <c r="J188" s="1"/>
      <c r="K188" s="1"/>
    </row>
    <row r="189" spans="2:11">
      <c r="B189" s="1"/>
      <c r="C189" s="1"/>
      <c r="D189" s="165" t="s">
        <v>2750</v>
      </c>
      <c r="E189" s="326">
        <v>4</v>
      </c>
      <c r="F189" s="1"/>
      <c r="G189" s="1"/>
      <c r="H189" s="1"/>
      <c r="I189" s="1"/>
      <c r="J189" s="1"/>
      <c r="K189" s="1"/>
    </row>
    <row r="190" spans="2:11">
      <c r="B190" s="1"/>
      <c r="C190" s="1"/>
      <c r="D190" s="165" t="s">
        <v>2660</v>
      </c>
      <c r="E190" s="326">
        <v>70</v>
      </c>
      <c r="F190" s="1"/>
      <c r="G190" s="1"/>
      <c r="H190" s="1"/>
      <c r="I190" s="1"/>
      <c r="J190" s="1"/>
      <c r="K190" s="1"/>
    </row>
    <row r="191" spans="2:11">
      <c r="B191" s="1"/>
      <c r="C191" s="1"/>
      <c r="D191" s="165"/>
      <c r="E191" s="1"/>
      <c r="F191" s="1"/>
      <c r="G191" s="1"/>
      <c r="H191" s="1"/>
      <c r="I191" s="1"/>
      <c r="J191" s="1"/>
      <c r="K191" s="1"/>
    </row>
    <row r="192" spans="2:11">
      <c r="B192" s="1"/>
      <c r="C192" s="1"/>
      <c r="D192" s="165" t="s">
        <v>2486</v>
      </c>
      <c r="E192" s="284">
        <f>E185/E184</f>
        <v>0.02</v>
      </c>
      <c r="F192" s="1"/>
      <c r="G192" s="1"/>
      <c r="H192" s="1"/>
      <c r="I192" s="1"/>
      <c r="J192" s="1"/>
      <c r="K192" s="1"/>
    </row>
    <row r="193" spans="2:11">
      <c r="B193" s="1"/>
      <c r="C193" s="1"/>
      <c r="D193" s="165" t="s">
        <v>2782</v>
      </c>
      <c r="E193" s="1">
        <f>1/E192</f>
        <v>50</v>
      </c>
      <c r="F193" s="1"/>
      <c r="G193" s="768"/>
      <c r="H193" s="1"/>
      <c r="I193" s="1"/>
      <c r="J193" s="1"/>
      <c r="K193" s="1"/>
    </row>
    <row r="194" spans="2:11">
      <c r="B194" s="1"/>
      <c r="C194" s="1"/>
      <c r="D194" s="932" t="s">
        <v>2755</v>
      </c>
      <c r="E194" s="1">
        <f>E193*E186</f>
        <v>750</v>
      </c>
      <c r="F194" s="236">
        <f>E194/E186</f>
        <v>50</v>
      </c>
      <c r="G194" s="1" t="s">
        <v>2494</v>
      </c>
      <c r="H194" s="1"/>
      <c r="I194" s="1"/>
      <c r="J194" s="1"/>
      <c r="K194" s="1"/>
    </row>
    <row r="195" spans="2:11">
      <c r="B195" s="1"/>
      <c r="C195" s="1"/>
      <c r="D195" s="165" t="s">
        <v>2748</v>
      </c>
      <c r="E195" s="1">
        <f>(1+1/E192)*E186</f>
        <v>765</v>
      </c>
      <c r="F195" s="1"/>
      <c r="G195" s="1"/>
      <c r="H195" s="1"/>
      <c r="I195" s="1"/>
      <c r="J195" s="1"/>
      <c r="K195" s="1"/>
    </row>
    <row r="196" spans="2:11">
      <c r="B196" s="1"/>
      <c r="C196" s="1"/>
      <c r="D196" s="933" t="s">
        <v>2756</v>
      </c>
      <c r="E196" s="1"/>
      <c r="F196" s="1"/>
      <c r="G196" s="1"/>
      <c r="H196" s="1"/>
      <c r="I196" s="1"/>
      <c r="J196" s="1"/>
      <c r="K196" s="1"/>
    </row>
    <row r="197" spans="2:11">
      <c r="B197" s="1"/>
      <c r="C197" s="1"/>
      <c r="D197" s="933" t="s">
        <v>2757</v>
      </c>
      <c r="E197" s="1">
        <v>1</v>
      </c>
      <c r="F197" s="373">
        <f>E197*E186</f>
        <v>15</v>
      </c>
      <c r="G197" s="1" t="s">
        <v>212</v>
      </c>
      <c r="H197" s="1"/>
      <c r="I197" s="1"/>
      <c r="J197" s="1"/>
      <c r="K197" s="1"/>
    </row>
    <row r="198" spans="2:11">
      <c r="B198" s="1"/>
      <c r="C198" s="1"/>
      <c r="D198" s="933" t="s">
        <v>2758</v>
      </c>
      <c r="E198" s="1">
        <f>1/F194</f>
        <v>0.02</v>
      </c>
      <c r="F198" s="935">
        <f>E198*E186</f>
        <v>0.3</v>
      </c>
      <c r="G198" s="11" t="s">
        <v>212</v>
      </c>
      <c r="H198" s="1"/>
      <c r="I198" s="1"/>
      <c r="J198" s="1"/>
      <c r="K198" s="1"/>
    </row>
    <row r="199" spans="2:11">
      <c r="B199" s="1"/>
      <c r="C199" s="1"/>
      <c r="D199" s="226" t="s">
        <v>2783</v>
      </c>
      <c r="E199" s="11"/>
      <c r="F199" s="934">
        <f>F197+F198</f>
        <v>15.3</v>
      </c>
      <c r="G199" s="11" t="s">
        <v>212</v>
      </c>
      <c r="H199" s="373">
        <f>15+15/50</f>
        <v>15.3</v>
      </c>
      <c r="I199" s="1"/>
      <c r="J199" s="1"/>
      <c r="K199" s="1"/>
    </row>
    <row r="200" spans="2:11">
      <c r="B200" s="1"/>
      <c r="C200" s="1"/>
      <c r="D200" s="165"/>
      <c r="E200" s="1"/>
      <c r="F200" s="1"/>
      <c r="G200" s="1"/>
      <c r="H200" s="1"/>
      <c r="I200" s="1"/>
      <c r="J200" s="1"/>
      <c r="K200" s="1"/>
    </row>
    <row r="201" spans="2:11">
      <c r="B201" s="1"/>
      <c r="C201" s="1"/>
      <c r="D201" s="165" t="s">
        <v>2760</v>
      </c>
      <c r="E201" s="1"/>
      <c r="F201" s="1"/>
      <c r="G201" s="1"/>
      <c r="H201" s="1"/>
      <c r="I201" s="1"/>
      <c r="J201" s="1"/>
      <c r="K201" s="1"/>
    </row>
    <row r="202" spans="2:11">
      <c r="B202" s="1"/>
      <c r="C202" s="1"/>
      <c r="D202" s="165"/>
      <c r="E202" s="1"/>
      <c r="F202" s="1"/>
      <c r="G202" s="1"/>
      <c r="H202" s="1"/>
      <c r="I202" s="1"/>
      <c r="J202" s="1"/>
      <c r="K202" s="1"/>
    </row>
    <row r="203" spans="2:11">
      <c r="B203" s="1"/>
      <c r="C203" s="1"/>
      <c r="D203" s="165" t="s">
        <v>2761</v>
      </c>
      <c r="E203" s="1">
        <f>E190/2</f>
        <v>35</v>
      </c>
      <c r="F203" s="1"/>
      <c r="G203" s="1"/>
      <c r="H203" s="1"/>
      <c r="I203" s="1"/>
      <c r="J203" s="1"/>
      <c r="K203" s="1"/>
    </row>
    <row r="204" spans="2:11">
      <c r="B204" s="1"/>
      <c r="C204" s="1"/>
      <c r="D204" s="165" t="s">
        <v>1938</v>
      </c>
      <c r="E204" s="1">
        <f>RADIANS(E203)</f>
        <v>0.6108652381980153</v>
      </c>
      <c r="F204" s="1"/>
      <c r="G204" s="1"/>
      <c r="H204" s="1"/>
      <c r="I204" s="1"/>
      <c r="J204" s="1"/>
      <c r="K204" s="1"/>
    </row>
    <row r="205" spans="2:11">
      <c r="B205" s="1"/>
      <c r="C205" s="1"/>
      <c r="D205" s="165" t="s">
        <v>2669</v>
      </c>
      <c r="E205" s="1">
        <f>TAN(E204)</f>
        <v>0.70020753820970971</v>
      </c>
      <c r="F205" s="1"/>
      <c r="G205" s="1"/>
      <c r="H205" s="1"/>
      <c r="I205" s="1"/>
      <c r="J205" s="1"/>
      <c r="K205" s="1"/>
    </row>
    <row r="206" spans="2:11">
      <c r="B206" s="1"/>
      <c r="C206" s="1"/>
      <c r="D206" s="165"/>
      <c r="E206" s="1"/>
      <c r="F206" s="1"/>
      <c r="G206" s="1"/>
      <c r="H206" s="1"/>
      <c r="I206" s="1"/>
      <c r="J206" s="1"/>
      <c r="K206" s="1"/>
    </row>
    <row r="207" spans="2:11">
      <c r="B207" s="1"/>
      <c r="C207" s="1"/>
      <c r="D207" s="165" t="s">
        <v>2762</v>
      </c>
      <c r="E207" s="1">
        <f>E205*F199</f>
        <v>10.713175334608559</v>
      </c>
      <c r="F207" s="1"/>
      <c r="G207" s="1"/>
      <c r="H207" s="1" t="s">
        <v>2763</v>
      </c>
      <c r="I207" s="1"/>
      <c r="J207" s="1"/>
      <c r="K207" s="1"/>
    </row>
    <row r="208" spans="2:11">
      <c r="B208" s="1"/>
      <c r="C208" s="1"/>
      <c r="D208" s="226" t="s">
        <v>2764</v>
      </c>
      <c r="E208" s="11">
        <f>E207*2</f>
        <v>21.426350669217118</v>
      </c>
      <c r="F208" s="11"/>
      <c r="G208" s="11"/>
      <c r="H208" s="1"/>
      <c r="I208" s="1"/>
      <c r="J208" s="1"/>
      <c r="K208" s="1"/>
    </row>
    <row r="209" spans="2:11">
      <c r="B209" s="1"/>
      <c r="C209" s="1"/>
      <c r="D209" s="165"/>
      <c r="E209" s="1"/>
      <c r="F209" s="1"/>
      <c r="G209" s="1"/>
      <c r="H209" s="1"/>
      <c r="I209" s="1"/>
      <c r="J209" s="1"/>
      <c r="K209" s="1"/>
    </row>
    <row r="210" spans="2:11">
      <c r="B210" s="1"/>
      <c r="C210" s="1"/>
      <c r="D210" s="165" t="s">
        <v>2765</v>
      </c>
      <c r="E210" s="1"/>
      <c r="F210" s="1"/>
      <c r="G210" s="1"/>
      <c r="H210" s="1"/>
      <c r="I210" s="1"/>
      <c r="J210" s="1"/>
      <c r="K210" s="1"/>
    </row>
    <row r="211" spans="2:11">
      <c r="B211" s="1"/>
      <c r="C211" s="1"/>
      <c r="D211" s="165"/>
      <c r="E211" s="1"/>
      <c r="F211" s="1"/>
      <c r="G211" s="1"/>
      <c r="H211" s="1"/>
      <c r="I211" s="1"/>
      <c r="J211" s="1"/>
      <c r="K211" s="1"/>
    </row>
    <row r="212" spans="2:11">
      <c r="B212" s="1"/>
      <c r="C212" s="1"/>
      <c r="D212" s="165" t="s">
        <v>2766</v>
      </c>
      <c r="E212" s="1">
        <f>SQRT(E188^2+E189^2)</f>
        <v>6.4031242374328485</v>
      </c>
      <c r="F212" s="1"/>
      <c r="G212" s="1"/>
      <c r="H212" s="1" t="s">
        <v>2767</v>
      </c>
      <c r="I212" s="1"/>
      <c r="J212" s="1"/>
      <c r="K212" s="1"/>
    </row>
    <row r="213" spans="2:11">
      <c r="B213" s="1"/>
      <c r="C213" s="1"/>
      <c r="D213" s="165"/>
      <c r="E213" s="1"/>
      <c r="F213" s="1"/>
      <c r="G213" s="1"/>
      <c r="H213" s="1"/>
      <c r="I213" s="1" t="s">
        <v>2768</v>
      </c>
      <c r="J213" s="1"/>
      <c r="K213" s="1"/>
    </row>
    <row r="214" spans="2:11">
      <c r="B214" s="1"/>
      <c r="C214" s="1"/>
      <c r="D214" s="165" t="s">
        <v>2769</v>
      </c>
      <c r="E214" s="1">
        <f>E208-E212</f>
        <v>15.02322643178427</v>
      </c>
      <c r="F214" s="1"/>
      <c r="G214" s="1"/>
      <c r="H214" s="1"/>
      <c r="I214" s="1"/>
      <c r="J214" s="1"/>
      <c r="K214" s="1"/>
    </row>
    <row r="215" spans="2:11">
      <c r="B215" s="1"/>
      <c r="C215" s="1"/>
      <c r="D215" s="226" t="s">
        <v>2770</v>
      </c>
      <c r="E215" s="11">
        <f>E214/2</f>
        <v>7.5116132158921349</v>
      </c>
      <c r="F215" s="11"/>
      <c r="G215" s="11"/>
      <c r="H215" s="1"/>
      <c r="I215" s="1"/>
      <c r="J215" s="1"/>
      <c r="K215" s="1"/>
    </row>
    <row r="216" spans="2:11">
      <c r="B216" s="1"/>
      <c r="C216" s="1"/>
      <c r="D216" s="165"/>
      <c r="E216" s="1"/>
      <c r="F216" s="1"/>
      <c r="G216" s="1"/>
      <c r="H216" s="1"/>
      <c r="I216" s="1"/>
      <c r="J216" s="1"/>
      <c r="K216" s="1"/>
    </row>
    <row r="217" spans="2:11">
      <c r="B217" s="1"/>
      <c r="C217" s="1"/>
      <c r="D217" s="165"/>
      <c r="E217" s="1"/>
      <c r="F217" s="1"/>
      <c r="G217" s="1"/>
      <c r="H217" s="1" t="s">
        <v>2771</v>
      </c>
      <c r="I217" s="1"/>
      <c r="J217" s="1"/>
      <c r="K217" s="1"/>
    </row>
    <row r="218" spans="2:11">
      <c r="B218" s="1"/>
      <c r="C218" s="1"/>
      <c r="D218" s="165" t="s">
        <v>2772</v>
      </c>
      <c r="E218" s="1">
        <f>SQRT(E207^2 - (E189/2)^2)</f>
        <v>10.524833763535899</v>
      </c>
      <c r="F218" s="1"/>
      <c r="G218" s="1"/>
      <c r="H218" s="1" t="s">
        <v>2773</v>
      </c>
      <c r="I218" s="1"/>
      <c r="J218" s="1"/>
      <c r="K218" s="1"/>
    </row>
    <row r="219" spans="2:11">
      <c r="B219" s="1"/>
      <c r="C219" s="1"/>
      <c r="D219" s="165"/>
      <c r="E219" s="1"/>
      <c r="F219" s="1"/>
      <c r="G219" s="1"/>
      <c r="H219" s="1"/>
      <c r="I219" s="1"/>
      <c r="J219" s="1"/>
      <c r="K219" s="1"/>
    </row>
    <row r="220" spans="2:11">
      <c r="B220" s="1"/>
      <c r="C220" s="1"/>
      <c r="D220" s="226" t="s">
        <v>2774</v>
      </c>
      <c r="E220" s="11">
        <f>E218-E188/2</f>
        <v>8.0248337635358986</v>
      </c>
      <c r="F220" s="11"/>
      <c r="G220" s="11"/>
      <c r="H220" s="1" t="s">
        <v>2775</v>
      </c>
      <c r="I220" s="1"/>
      <c r="J220" s="1"/>
      <c r="K220" s="1"/>
    </row>
    <row r="221" spans="2:11">
      <c r="B221" s="1"/>
      <c r="C221" s="1"/>
      <c r="D221" s="165"/>
      <c r="E221" s="1"/>
      <c r="F221" s="1"/>
      <c r="G221" s="1"/>
      <c r="H221" s="1"/>
      <c r="I221" s="1"/>
      <c r="J221" s="1"/>
      <c r="K221" s="1"/>
    </row>
    <row r="222" spans="2:11">
      <c r="B222" s="1"/>
      <c r="C222" s="1"/>
      <c r="D222" s="165"/>
      <c r="E222" s="1"/>
      <c r="F222" s="1"/>
      <c r="G222" s="1"/>
      <c r="H222" s="1"/>
      <c r="I222" s="1"/>
      <c r="J222" s="1"/>
      <c r="K222" s="1"/>
    </row>
    <row r="223" spans="2:11">
      <c r="B223" s="1"/>
      <c r="C223" s="1"/>
      <c r="D223" s="165" t="s">
        <v>2772</v>
      </c>
      <c r="E223" s="1">
        <f>SQRT(E207^2 - (E188/2)^2)</f>
        <v>10.417395343849883</v>
      </c>
      <c r="F223" s="1"/>
      <c r="G223" s="1"/>
      <c r="H223" s="1"/>
      <c r="I223" s="1"/>
      <c r="J223" s="1"/>
      <c r="K223" s="1"/>
    </row>
    <row r="224" spans="2:11">
      <c r="B224" s="1"/>
      <c r="C224" s="1"/>
      <c r="D224" s="165"/>
      <c r="E224" s="1"/>
      <c r="F224" s="1"/>
      <c r="G224" s="1"/>
      <c r="H224" s="1"/>
      <c r="I224" s="1"/>
      <c r="J224" s="1"/>
      <c r="K224" s="1"/>
    </row>
    <row r="225" spans="2:11">
      <c r="B225" s="1"/>
      <c r="C225" s="1"/>
      <c r="D225" s="226" t="s">
        <v>2776</v>
      </c>
      <c r="E225" s="11">
        <f>E223-E189/2</f>
        <v>8.4173953438498827</v>
      </c>
      <c r="F225" s="11"/>
      <c r="G225" s="11"/>
      <c r="H225" s="1"/>
      <c r="I225" s="1"/>
      <c r="J225" s="1"/>
      <c r="K225" s="1"/>
    </row>
  </sheetData>
  <pageMargins left="0.78740157499999996" right="0.78740157499999996" top="0.984251969" bottom="0.984251969" header="0.4921259845" footer="0.492125984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B1:Y408"/>
  <sheetViews>
    <sheetView zoomScale="80" zoomScaleNormal="80" workbookViewId="0">
      <selection activeCell="J363" sqref="J363"/>
    </sheetView>
  </sheetViews>
  <sheetFormatPr baseColWidth="10" defaultColWidth="11.42578125" defaultRowHeight="12.75"/>
  <cols>
    <col min="1" max="1" width="11.42578125" style="1"/>
    <col min="2" max="2" width="45.42578125" style="1" customWidth="1"/>
    <col min="3" max="4" width="11.42578125" style="1"/>
    <col min="5" max="5" width="9.140625" style="1" customWidth="1"/>
    <col min="6" max="6" width="5.85546875" style="1" customWidth="1"/>
    <col min="7" max="7" width="5.5703125" style="1" customWidth="1"/>
    <col min="8" max="8" width="3.85546875" style="1" customWidth="1"/>
    <col min="9" max="9" width="4.85546875" style="1" customWidth="1"/>
    <col min="10" max="10" width="11.42578125" style="1"/>
    <col min="11" max="11" width="14.42578125" style="1" customWidth="1"/>
    <col min="12" max="12" width="35" style="1" customWidth="1"/>
    <col min="13" max="13" width="17.85546875" style="1" customWidth="1"/>
    <col min="14" max="14" width="29.5703125" style="1" customWidth="1"/>
    <col min="15" max="16384" width="11.42578125" style="1"/>
  </cols>
  <sheetData>
    <row r="1" spans="2:3" ht="17.25">
      <c r="B1" s="948" t="s">
        <v>2905</v>
      </c>
    </row>
    <row r="3" spans="2:3">
      <c r="B3" s="1" t="s">
        <v>2838</v>
      </c>
    </row>
    <row r="4" spans="2:3">
      <c r="B4" s="1" t="s">
        <v>2839</v>
      </c>
    </row>
    <row r="5" spans="2:3">
      <c r="B5" s="1" t="s">
        <v>2840</v>
      </c>
    </row>
    <row r="6" spans="2:3">
      <c r="B6" s="1" t="s">
        <v>2841</v>
      </c>
    </row>
    <row r="8" spans="2:3">
      <c r="B8" s="165" t="s">
        <v>2842</v>
      </c>
      <c r="C8" s="326">
        <v>40</v>
      </c>
    </row>
    <row r="9" spans="2:3">
      <c r="B9" s="165" t="s">
        <v>2843</v>
      </c>
      <c r="C9" s="326">
        <v>80</v>
      </c>
    </row>
    <row r="10" spans="2:3">
      <c r="B10" s="165"/>
    </row>
    <row r="11" spans="2:3">
      <c r="B11" s="165" t="s">
        <v>2844</v>
      </c>
      <c r="C11" s="292">
        <f>PI()*(C9/2)^2</f>
        <v>5026.5482457436692</v>
      </c>
    </row>
    <row r="12" spans="2:3">
      <c r="B12" s="165"/>
    </row>
    <row r="13" spans="2:3">
      <c r="B13" s="165" t="s">
        <v>2845</v>
      </c>
      <c r="C13" s="292">
        <f>SIN(RADIANS(90-C8))*C9</f>
        <v>61.283555449518239</v>
      </c>
    </row>
    <row r="14" spans="2:3">
      <c r="B14" s="165" t="s">
        <v>2846</v>
      </c>
      <c r="C14" s="292">
        <f>PI()*(C9/2)*(C13/2)</f>
        <v>3850.5593517213847</v>
      </c>
    </row>
    <row r="16" spans="2:3">
      <c r="B16" s="1" t="s">
        <v>2847</v>
      </c>
      <c r="C16" s="944">
        <f>C14/C11</f>
        <v>0.76604444311897801</v>
      </c>
    </row>
    <row r="26" spans="13:13">
      <c r="M26" s="1" t="s">
        <v>2848</v>
      </c>
    </row>
    <row r="27" spans="13:13">
      <c r="M27" s="1" t="s">
        <v>2849</v>
      </c>
    </row>
    <row r="28" spans="13:13">
      <c r="M28" s="1" t="s">
        <v>2850</v>
      </c>
    </row>
    <row r="109" spans="3:3" ht="15">
      <c r="C109" s="949" t="s">
        <v>2837</v>
      </c>
    </row>
    <row r="111" spans="3:3">
      <c r="C111" s="2" t="s">
        <v>2851</v>
      </c>
    </row>
    <row r="112" spans="3:3">
      <c r="C112" s="2" t="s">
        <v>2852</v>
      </c>
    </row>
    <row r="113" spans="3:6">
      <c r="C113" s="2" t="s">
        <v>2853</v>
      </c>
    </row>
    <row r="116" spans="3:6">
      <c r="C116" s="165" t="s">
        <v>2854</v>
      </c>
      <c r="D116" s="235">
        <v>36</v>
      </c>
    </row>
    <row r="117" spans="3:6">
      <c r="C117" s="165" t="s">
        <v>2855</v>
      </c>
      <c r="D117" s="235">
        <v>24</v>
      </c>
    </row>
    <row r="118" spans="3:6">
      <c r="C118" s="165" t="s">
        <v>2661</v>
      </c>
      <c r="D118" s="235">
        <v>80</v>
      </c>
    </row>
    <row r="119" spans="3:6">
      <c r="C119" s="165"/>
    </row>
    <row r="120" spans="3:6">
      <c r="C120" s="165" t="s">
        <v>2856</v>
      </c>
      <c r="D120" s="292">
        <f>SQRT(D116^2+D117^2)</f>
        <v>43.266615305567875</v>
      </c>
    </row>
    <row r="121" spans="3:6">
      <c r="C121" s="165"/>
    </row>
    <row r="122" spans="3:6">
      <c r="C122" s="165" t="s">
        <v>2857</v>
      </c>
      <c r="D122" s="292">
        <f>DEGREES(ATAN(D120/2/D118))</f>
        <v>15.131806783066486</v>
      </c>
      <c r="F122" s="1" t="s">
        <v>2858</v>
      </c>
    </row>
    <row r="123" spans="3:6">
      <c r="C123" s="165" t="s">
        <v>2843</v>
      </c>
      <c r="D123" s="235">
        <v>40</v>
      </c>
    </row>
    <row r="124" spans="3:6">
      <c r="C124" s="165"/>
      <c r="F124" s="1" t="s">
        <v>2859</v>
      </c>
    </row>
    <row r="125" spans="3:6">
      <c r="C125" s="165" t="s">
        <v>2844</v>
      </c>
      <c r="D125" s="292">
        <f>PI()*(D123/2)^2</f>
        <v>1256.6370614359173</v>
      </c>
    </row>
    <row r="126" spans="3:6">
      <c r="C126" s="165"/>
      <c r="F126" s="1" t="s">
        <v>2860</v>
      </c>
    </row>
    <row r="127" spans="3:6">
      <c r="C127" s="165" t="s">
        <v>2845</v>
      </c>
      <c r="D127" s="292">
        <f>SIN(RADIANS(90-D122))*D123</f>
        <v>38.613114697916203</v>
      </c>
    </row>
    <row r="128" spans="3:6">
      <c r="C128" s="165" t="s">
        <v>2846</v>
      </c>
      <c r="D128" s="292">
        <f>PI()*(D123/2)*(D127/2)</f>
        <v>1213.0667746719359</v>
      </c>
    </row>
    <row r="130" spans="3:6">
      <c r="C130" s="1" t="s">
        <v>2847</v>
      </c>
      <c r="D130" s="381">
        <f>D128/D125</f>
        <v>0.96532786744790489</v>
      </c>
    </row>
    <row r="134" spans="3:6">
      <c r="F134" s="1" t="s">
        <v>2861</v>
      </c>
    </row>
    <row r="139" spans="3:6">
      <c r="C139" s="2" t="s">
        <v>2862</v>
      </c>
    </row>
    <row r="140" spans="3:6">
      <c r="C140" s="2" t="s">
        <v>2863</v>
      </c>
    </row>
    <row r="142" spans="3:6">
      <c r="C142" s="239" t="s">
        <v>520</v>
      </c>
      <c r="D142" s="950">
        <v>36</v>
      </c>
      <c r="E142" s="3" t="s">
        <v>344</v>
      </c>
    </row>
    <row r="143" spans="3:6">
      <c r="C143" s="239" t="s">
        <v>526</v>
      </c>
      <c r="D143" s="950">
        <v>24</v>
      </c>
      <c r="E143" s="3" t="s">
        <v>344</v>
      </c>
    </row>
    <row r="144" spans="3:6">
      <c r="C144" s="239" t="s">
        <v>1773</v>
      </c>
      <c r="D144" s="950">
        <v>80</v>
      </c>
      <c r="E144" s="3" t="s">
        <v>344</v>
      </c>
    </row>
    <row r="145" spans="3:5">
      <c r="C145" s="239" t="s">
        <v>2864</v>
      </c>
      <c r="D145" s="950">
        <v>40</v>
      </c>
      <c r="E145" s="3" t="s">
        <v>344</v>
      </c>
    </row>
    <row r="146" spans="3:5">
      <c r="C146" s="165"/>
    </row>
    <row r="147" spans="3:5">
      <c r="C147" s="239" t="s">
        <v>2865</v>
      </c>
      <c r="D147" s="373">
        <f>SQRT(D142^2+D143^2)</f>
        <v>43.266615305567875</v>
      </c>
      <c r="E147" s="3" t="s">
        <v>344</v>
      </c>
    </row>
    <row r="148" spans="3:5">
      <c r="C148" s="239" t="s">
        <v>2866</v>
      </c>
    </row>
    <row r="149" spans="3:5">
      <c r="C149" s="165"/>
    </row>
    <row r="150" spans="3:5">
      <c r="C150" s="239" t="s">
        <v>2867</v>
      </c>
    </row>
    <row r="151" spans="3:5">
      <c r="C151" s="239" t="s">
        <v>2868</v>
      </c>
      <c r="D151" s="1">
        <f>(D147/2)/D144</f>
        <v>0.27041634565979922</v>
      </c>
    </row>
    <row r="152" spans="3:5">
      <c r="C152" s="239" t="s">
        <v>1938</v>
      </c>
      <c r="D152" s="1">
        <f>ATAN(D151)</f>
        <v>0.26409985014012149</v>
      </c>
    </row>
    <row r="153" spans="3:5">
      <c r="C153" s="239" t="s">
        <v>2869</v>
      </c>
      <c r="D153" s="2">
        <f>DEGREES(D152)</f>
        <v>15.131806783066486</v>
      </c>
      <c r="E153" s="3" t="s">
        <v>1846</v>
      </c>
    </row>
    <row r="154" spans="3:5">
      <c r="C154" s="165"/>
    </row>
    <row r="155" spans="3:5">
      <c r="C155" s="239" t="s">
        <v>2870</v>
      </c>
    </row>
    <row r="156" spans="3:5">
      <c r="C156" s="239" t="s">
        <v>2871</v>
      </c>
    </row>
    <row r="157" spans="3:5">
      <c r="C157" s="239" t="s">
        <v>2872</v>
      </c>
    </row>
    <row r="158" spans="3:5">
      <c r="C158" s="165"/>
    </row>
    <row r="159" spans="3:5">
      <c r="C159" s="239" t="s">
        <v>2873</v>
      </c>
    </row>
    <row r="160" spans="3:5">
      <c r="C160" s="165"/>
    </row>
    <row r="161" spans="3:5">
      <c r="C161" s="239" t="s">
        <v>2874</v>
      </c>
      <c r="D161" s="1">
        <f>90-D153</f>
        <v>74.86819321693352</v>
      </c>
      <c r="E161" s="3" t="s">
        <v>1846</v>
      </c>
    </row>
    <row r="163" spans="3:5">
      <c r="C163" s="3" t="s">
        <v>2875</v>
      </c>
    </row>
    <row r="164" spans="3:5">
      <c r="C164" s="3" t="s">
        <v>2876</v>
      </c>
    </row>
    <row r="166" spans="3:5">
      <c r="C166" s="3" t="s">
        <v>2877</v>
      </c>
      <c r="D166" s="1">
        <f>RADIANS(D161)</f>
        <v>1.3066964766547751</v>
      </c>
    </row>
    <row r="167" spans="3:5">
      <c r="C167" s="3" t="s">
        <v>2878</v>
      </c>
      <c r="D167" s="1">
        <f>SIN(D166)</f>
        <v>0.965327867447905</v>
      </c>
    </row>
    <row r="169" spans="3:5">
      <c r="C169" s="3" t="s">
        <v>2879</v>
      </c>
      <c r="D169" s="1">
        <f>D145*D167</f>
        <v>38.613114697916203</v>
      </c>
      <c r="E169" s="3" t="s">
        <v>344</v>
      </c>
    </row>
    <row r="171" spans="3:5">
      <c r="C171" s="3" t="s">
        <v>2880</v>
      </c>
      <c r="D171" s="1">
        <f>PI() *D169/2 *D145/2</f>
        <v>1213.0667746719362</v>
      </c>
      <c r="E171" s="3" t="s">
        <v>355</v>
      </c>
    </row>
    <row r="172" spans="3:5">
      <c r="C172" s="3" t="s">
        <v>2881</v>
      </c>
      <c r="D172" s="1">
        <f>PI()*D145/2*D145/2</f>
        <v>1256.6370614359173</v>
      </c>
      <c r="E172" s="3" t="s">
        <v>355</v>
      </c>
    </row>
    <row r="174" spans="3:5">
      <c r="C174" s="3" t="s">
        <v>2882</v>
      </c>
      <c r="D174" s="1">
        <f>D171/D172</f>
        <v>0.96532786744790511</v>
      </c>
    </row>
    <row r="175" spans="3:5">
      <c r="D175" s="381">
        <f>D174</f>
        <v>0.96532786744790511</v>
      </c>
    </row>
    <row r="183" spans="2:2">
      <c r="B183" s="1" t="s">
        <v>2883</v>
      </c>
    </row>
    <row r="184" spans="2:2">
      <c r="B184" s="1" t="s">
        <v>2884</v>
      </c>
    </row>
    <row r="185" spans="2:2">
      <c r="B185" s="1" t="s">
        <v>2885</v>
      </c>
    </row>
    <row r="223" spans="2:4">
      <c r="B223" s="165" t="s">
        <v>1773</v>
      </c>
      <c r="C223" s="681">
        <v>50</v>
      </c>
      <c r="D223" s="1" t="s">
        <v>344</v>
      </c>
    </row>
    <row r="224" spans="2:4">
      <c r="B224" s="165" t="s">
        <v>317</v>
      </c>
      <c r="C224" s="681">
        <v>36</v>
      </c>
      <c r="D224" s="1" t="s">
        <v>344</v>
      </c>
    </row>
    <row r="225" spans="2:5">
      <c r="B225" s="165" t="s">
        <v>318</v>
      </c>
      <c r="C225" s="681">
        <v>24</v>
      </c>
      <c r="D225" s="1" t="s">
        <v>344</v>
      </c>
    </row>
    <row r="226" spans="2:5">
      <c r="B226" s="165"/>
    </row>
    <row r="227" spans="2:5">
      <c r="B227" s="165" t="s">
        <v>2812</v>
      </c>
      <c r="C227" s="373">
        <f>SQRT(C224^2+C225^2)</f>
        <v>43.266615305567875</v>
      </c>
      <c r="D227" s="1" t="s">
        <v>344</v>
      </c>
      <c r="E227" s="1" t="s">
        <v>2886</v>
      </c>
    </row>
    <row r="228" spans="2:5">
      <c r="B228" s="165" t="s">
        <v>2887</v>
      </c>
      <c r="C228" s="373">
        <f>C227/2</f>
        <v>21.633307652783937</v>
      </c>
      <c r="D228" s="1" t="s">
        <v>344</v>
      </c>
    </row>
    <row r="229" spans="2:5">
      <c r="B229" s="165"/>
    </row>
    <row r="230" spans="2:5">
      <c r="B230" s="165" t="s">
        <v>2888</v>
      </c>
      <c r="C230" s="1">
        <f>C228/C223</f>
        <v>0.43266615305567874</v>
      </c>
      <c r="E230" s="1" t="s">
        <v>2889</v>
      </c>
    </row>
    <row r="231" spans="2:5">
      <c r="B231" s="165" t="s">
        <v>2890</v>
      </c>
      <c r="C231" s="1">
        <f>ATAN(C230)</f>
        <v>0.40834598762445795</v>
      </c>
    </row>
    <row r="232" spans="2:5">
      <c r="B232" s="165" t="s">
        <v>2193</v>
      </c>
      <c r="C232" s="373">
        <f>DEGREES(C231)</f>
        <v>23.396501671982787</v>
      </c>
      <c r="D232" s="1" t="s">
        <v>1846</v>
      </c>
    </row>
    <row r="233" spans="2:5">
      <c r="B233" s="165"/>
    </row>
    <row r="234" spans="2:5">
      <c r="B234" s="165"/>
    </row>
    <row r="235" spans="2:5">
      <c r="B235" s="165" t="s">
        <v>2864</v>
      </c>
      <c r="C235" s="681">
        <v>4</v>
      </c>
      <c r="D235" s="1" t="s">
        <v>212</v>
      </c>
    </row>
    <row r="236" spans="2:5">
      <c r="B236" s="165" t="s">
        <v>2193</v>
      </c>
      <c r="C236" s="771">
        <f>C232</f>
        <v>23.396501671982787</v>
      </c>
      <c r="D236" s="1" t="s">
        <v>1846</v>
      </c>
    </row>
    <row r="237" spans="2:5">
      <c r="B237" s="165"/>
    </row>
    <row r="238" spans="2:5">
      <c r="B238" s="165" t="s">
        <v>2891</v>
      </c>
      <c r="C238" s="1">
        <f>90-C236</f>
        <v>66.60349832801721</v>
      </c>
      <c r="D238" s="1" t="s">
        <v>1846</v>
      </c>
    </row>
    <row r="239" spans="2:5">
      <c r="B239" s="165" t="s">
        <v>2892</v>
      </c>
      <c r="C239" s="1">
        <f>RADIANS(C238)</f>
        <v>1.1624503391704386</v>
      </c>
    </row>
    <row r="240" spans="2:5">
      <c r="B240" s="165" t="s">
        <v>2893</v>
      </c>
      <c r="C240" s="1">
        <f>SIN(C239)</f>
        <v>0.91777887276794035</v>
      </c>
    </row>
    <row r="241" spans="2:12">
      <c r="B241" s="165"/>
    </row>
    <row r="242" spans="2:12">
      <c r="B242" s="165" t="s">
        <v>2894</v>
      </c>
      <c r="C242" s="1">
        <f>C240*C235</f>
        <v>3.6711154910717614</v>
      </c>
      <c r="D242" s="1" t="s">
        <v>212</v>
      </c>
      <c r="E242" s="1" t="s">
        <v>2895</v>
      </c>
    </row>
    <row r="243" spans="2:12">
      <c r="B243" s="165"/>
    </row>
    <row r="244" spans="2:12">
      <c r="B244" s="165" t="s">
        <v>2896</v>
      </c>
      <c r="C244" s="1">
        <f>PI()*(C242/2)*(C235/2)</f>
        <v>11.533149457230731</v>
      </c>
      <c r="D244" s="1" t="s">
        <v>215</v>
      </c>
    </row>
    <row r="245" spans="2:12">
      <c r="B245" s="165" t="s">
        <v>2897</v>
      </c>
      <c r="C245" s="1">
        <f>PI()*(C235/2)^2</f>
        <v>12.566370614359172</v>
      </c>
      <c r="D245" s="1" t="s">
        <v>215</v>
      </c>
    </row>
    <row r="246" spans="2:12">
      <c r="B246" s="165"/>
      <c r="E246" s="364"/>
    </row>
    <row r="247" spans="2:12">
      <c r="B247" s="165" t="s">
        <v>2898</v>
      </c>
      <c r="C247" s="381">
        <f>C244/C245</f>
        <v>0.91777887276794035</v>
      </c>
      <c r="E247" s="364"/>
    </row>
    <row r="255" spans="2:12">
      <c r="L255" s="440" t="s">
        <v>2903</v>
      </c>
    </row>
    <row r="257" spans="12:23">
      <c r="L257" s="165" t="s">
        <v>2899</v>
      </c>
      <c r="M257" s="326">
        <v>7</v>
      </c>
      <c r="N257" s="326">
        <v>7</v>
      </c>
      <c r="O257" s="326">
        <v>7</v>
      </c>
      <c r="P257" s="326">
        <v>7</v>
      </c>
      <c r="Q257" s="326">
        <v>7</v>
      </c>
      <c r="R257" s="326">
        <v>7</v>
      </c>
      <c r="S257" s="326">
        <v>7</v>
      </c>
      <c r="T257" s="326">
        <v>7</v>
      </c>
      <c r="U257" s="326">
        <v>7</v>
      </c>
      <c r="V257" s="326">
        <v>7</v>
      </c>
      <c r="W257" s="326">
        <v>7</v>
      </c>
    </row>
    <row r="258" spans="12:23">
      <c r="L258" s="165" t="s">
        <v>2193</v>
      </c>
      <c r="M258" s="326">
        <v>0</v>
      </c>
      <c r="N258" s="326">
        <f>M258+5</f>
        <v>5</v>
      </c>
      <c r="O258" s="326">
        <f t="shared" ref="O258:W258" si="0">N258+5</f>
        <v>10</v>
      </c>
      <c r="P258" s="326">
        <f t="shared" si="0"/>
        <v>15</v>
      </c>
      <c r="Q258" s="326">
        <f t="shared" si="0"/>
        <v>20</v>
      </c>
      <c r="R258" s="326">
        <f t="shared" si="0"/>
        <v>25</v>
      </c>
      <c r="S258" s="326">
        <f t="shared" si="0"/>
        <v>30</v>
      </c>
      <c r="T258" s="326">
        <f t="shared" si="0"/>
        <v>35</v>
      </c>
      <c r="U258" s="326">
        <f t="shared" si="0"/>
        <v>40</v>
      </c>
      <c r="V258" s="326">
        <f t="shared" si="0"/>
        <v>45</v>
      </c>
      <c r="W258" s="326">
        <f t="shared" si="0"/>
        <v>50</v>
      </c>
    </row>
    <row r="260" spans="12:23">
      <c r="L260" s="165" t="s">
        <v>2900</v>
      </c>
      <c r="M260" s="292">
        <f>90-M258</f>
        <v>90</v>
      </c>
      <c r="N260" s="292">
        <f t="shared" ref="N260:W260" si="1">90-N258</f>
        <v>85</v>
      </c>
      <c r="O260" s="292">
        <f t="shared" si="1"/>
        <v>80</v>
      </c>
      <c r="P260" s="292">
        <f t="shared" si="1"/>
        <v>75</v>
      </c>
      <c r="Q260" s="292">
        <f t="shared" si="1"/>
        <v>70</v>
      </c>
      <c r="R260" s="292">
        <f t="shared" si="1"/>
        <v>65</v>
      </c>
      <c r="S260" s="292">
        <f t="shared" si="1"/>
        <v>60</v>
      </c>
      <c r="T260" s="292">
        <f t="shared" si="1"/>
        <v>55</v>
      </c>
      <c r="U260" s="292">
        <f t="shared" si="1"/>
        <v>50</v>
      </c>
      <c r="V260" s="292">
        <f t="shared" si="1"/>
        <v>45</v>
      </c>
      <c r="W260" s="292">
        <f t="shared" si="1"/>
        <v>40</v>
      </c>
    </row>
    <row r="261" spans="12:23">
      <c r="L261" s="165" t="s">
        <v>1938</v>
      </c>
      <c r="M261" s="1">
        <f>RADIANS(M260)</f>
        <v>1.5707963267948966</v>
      </c>
      <c r="N261" s="1">
        <f t="shared" ref="N261:W261" si="2">RADIANS(N260)</f>
        <v>1.4835298641951802</v>
      </c>
      <c r="O261" s="1">
        <f t="shared" si="2"/>
        <v>1.3962634015954636</v>
      </c>
      <c r="P261" s="1">
        <f t="shared" si="2"/>
        <v>1.3089969389957472</v>
      </c>
      <c r="Q261" s="1">
        <f t="shared" si="2"/>
        <v>1.2217304763960306</v>
      </c>
      <c r="R261" s="1">
        <f t="shared" si="2"/>
        <v>1.1344640137963142</v>
      </c>
      <c r="S261" s="1">
        <f t="shared" si="2"/>
        <v>1.0471975511965976</v>
      </c>
      <c r="T261" s="1">
        <f t="shared" si="2"/>
        <v>0.95993108859688125</v>
      </c>
      <c r="U261" s="1">
        <f t="shared" si="2"/>
        <v>0.87266462599716477</v>
      </c>
      <c r="V261" s="1">
        <f t="shared" si="2"/>
        <v>0.78539816339744828</v>
      </c>
      <c r="W261" s="1">
        <f t="shared" si="2"/>
        <v>0.69813170079773179</v>
      </c>
    </row>
    <row r="262" spans="12:23">
      <c r="L262" s="165" t="s">
        <v>2352</v>
      </c>
      <c r="M262" s="1">
        <f>SIN(M261)</f>
        <v>1</v>
      </c>
      <c r="N262" s="1">
        <f t="shared" ref="N262:W262" si="3">SIN(N261)</f>
        <v>0.99619469809174555</v>
      </c>
      <c r="O262" s="1">
        <f t="shared" si="3"/>
        <v>0.98480775301220802</v>
      </c>
      <c r="P262" s="1">
        <f t="shared" si="3"/>
        <v>0.96592582628906831</v>
      </c>
      <c r="Q262" s="1">
        <f t="shared" si="3"/>
        <v>0.93969262078590832</v>
      </c>
      <c r="R262" s="1">
        <f t="shared" si="3"/>
        <v>0.90630778703664994</v>
      </c>
      <c r="S262" s="1">
        <f t="shared" si="3"/>
        <v>0.8660254037844386</v>
      </c>
      <c r="T262" s="1">
        <f t="shared" si="3"/>
        <v>0.8191520442889918</v>
      </c>
      <c r="U262" s="1">
        <f t="shared" si="3"/>
        <v>0.76604444311897801</v>
      </c>
      <c r="V262" s="1">
        <f t="shared" si="3"/>
        <v>0.70710678118654746</v>
      </c>
      <c r="W262" s="1">
        <f t="shared" si="3"/>
        <v>0.64278760968653925</v>
      </c>
    </row>
    <row r="267" spans="12:23">
      <c r="L267" s="165" t="s">
        <v>1863</v>
      </c>
      <c r="M267" s="1">
        <f>M262*M257</f>
        <v>7</v>
      </c>
      <c r="N267" s="1">
        <f t="shared" ref="N267:W267" si="4">N262*N257</f>
        <v>6.973362886642219</v>
      </c>
      <c r="O267" s="1">
        <f t="shared" si="4"/>
        <v>6.893654271085456</v>
      </c>
      <c r="P267" s="1">
        <f t="shared" si="4"/>
        <v>6.7614807840234779</v>
      </c>
      <c r="Q267" s="1">
        <f t="shared" si="4"/>
        <v>6.5778483455013586</v>
      </c>
      <c r="R267" s="1">
        <f t="shared" si="4"/>
        <v>6.3441545092565494</v>
      </c>
      <c r="S267" s="1">
        <f t="shared" si="4"/>
        <v>6.0621778264910704</v>
      </c>
      <c r="T267" s="1">
        <f t="shared" si="4"/>
        <v>5.7340643100229425</v>
      </c>
      <c r="U267" s="1">
        <f t="shared" si="4"/>
        <v>5.3623111018328462</v>
      </c>
      <c r="V267" s="1">
        <f t="shared" si="4"/>
        <v>4.9497474683058318</v>
      </c>
      <c r="W267" s="1">
        <f t="shared" si="4"/>
        <v>4.4995132678057743</v>
      </c>
    </row>
    <row r="268" spans="12:23">
      <c r="L268" s="165"/>
    </row>
    <row r="269" spans="12:23">
      <c r="L269" s="165" t="s">
        <v>2901</v>
      </c>
      <c r="M269" s="381">
        <f>M267/M257</f>
        <v>1</v>
      </c>
      <c r="N269" s="381">
        <f t="shared" ref="N269:W269" si="5">N267/N257</f>
        <v>0.99619469809174555</v>
      </c>
      <c r="O269" s="381">
        <f t="shared" si="5"/>
        <v>0.98480775301220802</v>
      </c>
      <c r="P269" s="381">
        <f t="shared" si="5"/>
        <v>0.96592582628906831</v>
      </c>
      <c r="Q269" s="381">
        <f t="shared" si="5"/>
        <v>0.93969262078590832</v>
      </c>
      <c r="R269" s="381">
        <f t="shared" si="5"/>
        <v>0.90630778703664994</v>
      </c>
      <c r="S269" s="381">
        <f t="shared" si="5"/>
        <v>0.8660254037844386</v>
      </c>
      <c r="T269" s="381">
        <f t="shared" si="5"/>
        <v>0.8191520442889918</v>
      </c>
      <c r="U269" s="381">
        <f t="shared" si="5"/>
        <v>0.76604444311897801</v>
      </c>
      <c r="V269" s="381">
        <f t="shared" si="5"/>
        <v>0.70710678118654735</v>
      </c>
      <c r="W269" s="381">
        <f t="shared" si="5"/>
        <v>0.64278760968653914</v>
      </c>
    </row>
    <row r="271" spans="12:23">
      <c r="M271" s="11"/>
      <c r="N271" s="11"/>
      <c r="O271" s="11"/>
      <c r="P271" s="11"/>
      <c r="Q271" s="11"/>
      <c r="R271" s="11"/>
      <c r="S271" s="11"/>
      <c r="T271" s="11"/>
      <c r="U271" s="11"/>
      <c r="V271" s="11"/>
      <c r="W271" s="11"/>
    </row>
    <row r="276" spans="12:23">
      <c r="L276" s="165" t="s">
        <v>214</v>
      </c>
      <c r="M276" s="373">
        <f>PI()*(M257/2)^2</f>
        <v>38.484510006474963</v>
      </c>
      <c r="N276" s="373">
        <f t="shared" ref="N276:W276" si="6">PI()*(N257/2)^2</f>
        <v>38.484510006474963</v>
      </c>
      <c r="O276" s="373">
        <f t="shared" si="6"/>
        <v>38.484510006474963</v>
      </c>
      <c r="P276" s="373">
        <f t="shared" si="6"/>
        <v>38.484510006474963</v>
      </c>
      <c r="Q276" s="373">
        <f t="shared" si="6"/>
        <v>38.484510006474963</v>
      </c>
      <c r="R276" s="373">
        <f t="shared" si="6"/>
        <v>38.484510006474963</v>
      </c>
      <c r="S276" s="373">
        <f t="shared" si="6"/>
        <v>38.484510006474963</v>
      </c>
      <c r="T276" s="373">
        <f t="shared" si="6"/>
        <v>38.484510006474963</v>
      </c>
      <c r="U276" s="373">
        <f t="shared" si="6"/>
        <v>38.484510006474963</v>
      </c>
      <c r="V276" s="373">
        <f t="shared" si="6"/>
        <v>38.484510006474963</v>
      </c>
      <c r="W276" s="373">
        <f t="shared" si="6"/>
        <v>38.484510006474963</v>
      </c>
    </row>
    <row r="277" spans="12:23">
      <c r="L277" s="165" t="s">
        <v>2902</v>
      </c>
      <c r="M277" s="505">
        <v>1</v>
      </c>
      <c r="N277" s="505">
        <v>2</v>
      </c>
      <c r="O277" s="505">
        <v>3</v>
      </c>
      <c r="P277" s="505">
        <v>4</v>
      </c>
      <c r="Q277" s="505">
        <v>5</v>
      </c>
      <c r="R277" s="505">
        <v>6</v>
      </c>
      <c r="S277" s="505">
        <v>7</v>
      </c>
      <c r="T277" s="505">
        <v>8</v>
      </c>
      <c r="U277" s="505">
        <v>9</v>
      </c>
      <c r="V277" s="505">
        <v>10</v>
      </c>
      <c r="W277" s="505">
        <v>11</v>
      </c>
    </row>
    <row r="278" spans="12:23">
      <c r="M278" s="11"/>
      <c r="N278" s="11"/>
      <c r="O278" s="11"/>
      <c r="P278" s="11"/>
      <c r="Q278" s="11"/>
      <c r="R278" s="11"/>
      <c r="S278" s="11"/>
      <c r="T278" s="11"/>
      <c r="U278" s="11"/>
      <c r="V278" s="11"/>
      <c r="W278" s="11"/>
    </row>
    <row r="283" spans="12:23">
      <c r="L283" s="1" t="s">
        <v>2846</v>
      </c>
      <c r="M283" s="373">
        <f>PI()*(M257/2)*(M267/2)</f>
        <v>38.484510006474963</v>
      </c>
      <c r="N283" s="373">
        <f t="shared" ref="N283:W283" si="7">PI()*(N257/2)*(N267/2)</f>
        <v>38.338064827109093</v>
      </c>
      <c r="O283" s="373">
        <f t="shared" si="7"/>
        <v>37.899843825252447</v>
      </c>
      <c r="P283" s="373">
        <f t="shared" si="7"/>
        <v>37.17318212733425</v>
      </c>
      <c r="Q283" s="373">
        <f t="shared" si="7"/>
        <v>36.163610067645976</v>
      </c>
      <c r="R283" s="373">
        <f t="shared" si="7"/>
        <v>34.878811099158135</v>
      </c>
      <c r="S283" s="373">
        <f t="shared" si="7"/>
        <v>33.328563317803749</v>
      </c>
      <c r="T283" s="373">
        <f t="shared" si="7"/>
        <v>31.524665045264129</v>
      </c>
      <c r="U283" s="373">
        <f t="shared" si="7"/>
        <v>29.480845036616852</v>
      </c>
      <c r="V283" s="373">
        <f t="shared" si="7"/>
        <v>27.212657996219988</v>
      </c>
      <c r="W283" s="373">
        <f t="shared" si="7"/>
        <v>24.737366197019742</v>
      </c>
    </row>
    <row r="284" spans="12:23">
      <c r="L284" s="1" t="s">
        <v>1558</v>
      </c>
      <c r="M284" s="381">
        <f>M283/M276</f>
        <v>1</v>
      </c>
      <c r="N284" s="381">
        <f t="shared" ref="N284:W284" si="8">N283/N276</f>
        <v>0.99619469809174577</v>
      </c>
      <c r="O284" s="381">
        <f t="shared" si="8"/>
        <v>0.98480775301220813</v>
      </c>
      <c r="P284" s="381">
        <f t="shared" si="8"/>
        <v>0.96592582628906842</v>
      </c>
      <c r="Q284" s="381">
        <f t="shared" si="8"/>
        <v>0.93969262078590843</v>
      </c>
      <c r="R284" s="381">
        <f t="shared" si="8"/>
        <v>0.90630778703664994</v>
      </c>
      <c r="S284" s="381">
        <f t="shared" si="8"/>
        <v>0.8660254037844386</v>
      </c>
      <c r="T284" s="381">
        <f t="shared" si="8"/>
        <v>0.8191520442889918</v>
      </c>
      <c r="U284" s="381">
        <f t="shared" si="8"/>
        <v>0.76604444311897812</v>
      </c>
      <c r="V284" s="381">
        <f t="shared" si="8"/>
        <v>0.70710678118654746</v>
      </c>
      <c r="W284" s="381">
        <f t="shared" si="8"/>
        <v>0.64278760968653925</v>
      </c>
    </row>
    <row r="319" spans="11:24">
      <c r="K319"/>
      <c r="L319"/>
      <c r="M319"/>
      <c r="N319"/>
      <c r="O319"/>
      <c r="P319"/>
      <c r="Q319"/>
      <c r="R319"/>
      <c r="S319"/>
      <c r="T319"/>
      <c r="U319"/>
      <c r="V319"/>
      <c r="W319"/>
      <c r="X319"/>
    </row>
    <row r="320" spans="11:24">
      <c r="K320" s="298" t="s">
        <v>1055</v>
      </c>
      <c r="L320" t="s">
        <v>2906</v>
      </c>
      <c r="M320"/>
      <c r="N320"/>
      <c r="O320"/>
      <c r="P320"/>
      <c r="Q320"/>
      <c r="R320"/>
      <c r="S320"/>
      <c r="T320"/>
      <c r="U320"/>
      <c r="V320"/>
      <c r="W320"/>
      <c r="X320"/>
    </row>
    <row r="321" spans="11:24">
      <c r="K321"/>
      <c r="L321" t="s">
        <v>2907</v>
      </c>
      <c r="M321"/>
      <c r="N321"/>
      <c r="O321"/>
      <c r="P321"/>
      <c r="Q321"/>
      <c r="R321"/>
      <c r="S321"/>
      <c r="T321"/>
      <c r="U321"/>
      <c r="V321"/>
      <c r="W321"/>
      <c r="X321"/>
    </row>
    <row r="322" spans="11:24">
      <c r="K322"/>
      <c r="L322" t="s">
        <v>2908</v>
      </c>
      <c r="M322"/>
      <c r="N322"/>
      <c r="O322"/>
      <c r="P322"/>
      <c r="Q322"/>
      <c r="R322"/>
      <c r="S322"/>
      <c r="T322"/>
      <c r="U322"/>
      <c r="V322"/>
      <c r="W322"/>
      <c r="X322"/>
    </row>
    <row r="323" spans="11:24">
      <c r="K323"/>
      <c r="L323" t="s">
        <v>2909</v>
      </c>
      <c r="M323"/>
      <c r="N323"/>
      <c r="O323"/>
      <c r="P323"/>
      <c r="Q323"/>
      <c r="R323"/>
      <c r="S323"/>
      <c r="T323"/>
      <c r="U323"/>
      <c r="V323"/>
      <c r="W323"/>
      <c r="X323"/>
    </row>
    <row r="324" spans="11:24">
      <c r="K324"/>
      <c r="L324"/>
      <c r="M324"/>
      <c r="N324"/>
      <c r="O324"/>
      <c r="P324"/>
      <c r="Q324"/>
      <c r="R324"/>
      <c r="S324"/>
      <c r="T324"/>
      <c r="U324"/>
      <c r="V324"/>
      <c r="W324"/>
      <c r="X324"/>
    </row>
    <row r="325" spans="11:24">
      <c r="K325" s="298" t="s">
        <v>2910</v>
      </c>
      <c r="L325" t="s">
        <v>2911</v>
      </c>
      <c r="M325"/>
      <c r="N325"/>
      <c r="O325"/>
      <c r="P325"/>
      <c r="Q325"/>
      <c r="R325"/>
      <c r="S325"/>
      <c r="T325"/>
      <c r="U325"/>
      <c r="V325"/>
      <c r="W325"/>
      <c r="X325"/>
    </row>
    <row r="326" spans="11:24">
      <c r="K326"/>
      <c r="L326" t="s">
        <v>2912</v>
      </c>
      <c r="M326"/>
      <c r="N326"/>
      <c r="O326"/>
      <c r="P326"/>
      <c r="Q326"/>
      <c r="R326"/>
      <c r="S326"/>
      <c r="T326"/>
      <c r="U326"/>
      <c r="V326"/>
      <c r="W326"/>
      <c r="X326"/>
    </row>
    <row r="327" spans="11:24">
      <c r="K327"/>
      <c r="L327" t="s">
        <v>2913</v>
      </c>
      <c r="M327"/>
      <c r="N327"/>
      <c r="O327"/>
      <c r="P327"/>
      <c r="Q327"/>
      <c r="R327"/>
      <c r="S327"/>
      <c r="T327"/>
      <c r="U327"/>
      <c r="V327"/>
      <c r="W327"/>
      <c r="X327"/>
    </row>
    <row r="328" spans="11:24">
      <c r="K328"/>
      <c r="L328"/>
      <c r="M328"/>
      <c r="N328"/>
      <c r="O328"/>
      <c r="P328"/>
      <c r="Q328"/>
      <c r="R328"/>
      <c r="S328"/>
      <c r="T328"/>
      <c r="U328"/>
      <c r="V328"/>
      <c r="W328"/>
      <c r="X328"/>
    </row>
    <row r="329" spans="11:24">
      <c r="K329" t="s">
        <v>1670</v>
      </c>
      <c r="L329" s="951" t="s">
        <v>2914</v>
      </c>
      <c r="M329"/>
      <c r="N329"/>
      <c r="O329"/>
      <c r="P329"/>
      <c r="Q329"/>
      <c r="R329"/>
      <c r="S329"/>
      <c r="T329"/>
      <c r="U329"/>
      <c r="V329"/>
      <c r="W329"/>
      <c r="X329"/>
    </row>
    <row r="330" spans="11:24">
      <c r="K330"/>
      <c r="L330" t="s">
        <v>2915</v>
      </c>
      <c r="M330"/>
      <c r="N330"/>
      <c r="O330" t="s">
        <v>2916</v>
      </c>
      <c r="P330"/>
      <c r="Q330"/>
      <c r="R330"/>
      <c r="S330"/>
      <c r="T330"/>
      <c r="U330"/>
      <c r="V330"/>
      <c r="W330"/>
      <c r="X330"/>
    </row>
    <row r="331" spans="11:24">
      <c r="K331"/>
      <c r="L331" s="951" t="s">
        <v>2917</v>
      </c>
      <c r="M331"/>
      <c r="N331"/>
      <c r="O331"/>
      <c r="P331"/>
      <c r="Q331"/>
      <c r="R331"/>
      <c r="S331"/>
      <c r="T331"/>
      <c r="U331"/>
      <c r="V331"/>
      <c r="W331"/>
      <c r="X331"/>
    </row>
    <row r="332" spans="11:24">
      <c r="K332"/>
      <c r="L332" t="s">
        <v>2918</v>
      </c>
      <c r="M332"/>
      <c r="N332"/>
      <c r="O332" t="s">
        <v>2919</v>
      </c>
      <c r="P332"/>
      <c r="Q332"/>
      <c r="R332"/>
      <c r="S332"/>
      <c r="T332"/>
      <c r="U332"/>
      <c r="V332"/>
      <c r="W332"/>
      <c r="X332"/>
    </row>
    <row r="333" spans="11:24">
      <c r="K333"/>
      <c r="L333"/>
      <c r="M333"/>
      <c r="N333"/>
      <c r="O333"/>
      <c r="P333"/>
      <c r="Q333"/>
      <c r="R333"/>
      <c r="S333"/>
      <c r="T333"/>
      <c r="U333"/>
      <c r="V333"/>
      <c r="W333"/>
      <c r="X333"/>
    </row>
    <row r="334" spans="11:24">
      <c r="K334" t="s">
        <v>496</v>
      </c>
      <c r="L334" s="60" t="s">
        <v>2920</v>
      </c>
      <c r="M334" s="952">
        <v>500</v>
      </c>
      <c r="N334" s="953">
        <f t="shared" ref="N334:W334" si="9">M334</f>
        <v>500</v>
      </c>
      <c r="O334" s="953">
        <f t="shared" si="9"/>
        <v>500</v>
      </c>
      <c r="P334" s="953">
        <f t="shared" si="9"/>
        <v>500</v>
      </c>
      <c r="Q334" s="953">
        <f t="shared" si="9"/>
        <v>500</v>
      </c>
      <c r="R334" s="953">
        <f t="shared" si="9"/>
        <v>500</v>
      </c>
      <c r="S334" s="953">
        <f t="shared" si="9"/>
        <v>500</v>
      </c>
      <c r="T334" s="953">
        <f t="shared" si="9"/>
        <v>500</v>
      </c>
      <c r="U334" s="953">
        <f t="shared" si="9"/>
        <v>500</v>
      </c>
      <c r="V334" s="953">
        <f t="shared" si="9"/>
        <v>500</v>
      </c>
      <c r="W334" s="953">
        <f t="shared" si="9"/>
        <v>500</v>
      </c>
      <c r="X334"/>
    </row>
    <row r="335" spans="11:24">
      <c r="K335"/>
      <c r="L335" s="60" t="s">
        <v>2921</v>
      </c>
      <c r="M335" s="952">
        <v>10</v>
      </c>
      <c r="N335" s="953">
        <f t="shared" ref="N335:W335" si="10">M335+5</f>
        <v>15</v>
      </c>
      <c r="O335" s="953">
        <f t="shared" si="10"/>
        <v>20</v>
      </c>
      <c r="P335" s="953">
        <f t="shared" si="10"/>
        <v>25</v>
      </c>
      <c r="Q335" s="953">
        <f t="shared" si="10"/>
        <v>30</v>
      </c>
      <c r="R335" s="953">
        <f t="shared" si="10"/>
        <v>35</v>
      </c>
      <c r="S335" s="953">
        <f t="shared" si="10"/>
        <v>40</v>
      </c>
      <c r="T335" s="953">
        <f t="shared" si="10"/>
        <v>45</v>
      </c>
      <c r="U335" s="953">
        <f t="shared" si="10"/>
        <v>50</v>
      </c>
      <c r="V335" s="953">
        <f t="shared" si="10"/>
        <v>55</v>
      </c>
      <c r="W335" s="953">
        <f t="shared" si="10"/>
        <v>60</v>
      </c>
      <c r="X335"/>
    </row>
    <row r="336" spans="11:24">
      <c r="K336"/>
      <c r="L336" s="60" t="s">
        <v>2922</v>
      </c>
      <c r="M336" s="952">
        <v>100</v>
      </c>
      <c r="N336" s="953">
        <f t="shared" ref="N336:W336" si="11">M336</f>
        <v>100</v>
      </c>
      <c r="O336" s="953">
        <f t="shared" si="11"/>
        <v>100</v>
      </c>
      <c r="P336" s="953">
        <f t="shared" si="11"/>
        <v>100</v>
      </c>
      <c r="Q336" s="953">
        <f t="shared" si="11"/>
        <v>100</v>
      </c>
      <c r="R336" s="953">
        <f t="shared" si="11"/>
        <v>100</v>
      </c>
      <c r="S336" s="953">
        <f t="shared" si="11"/>
        <v>100</v>
      </c>
      <c r="T336" s="953">
        <f t="shared" si="11"/>
        <v>100</v>
      </c>
      <c r="U336" s="953">
        <f t="shared" si="11"/>
        <v>100</v>
      </c>
      <c r="V336" s="953">
        <f t="shared" si="11"/>
        <v>100</v>
      </c>
      <c r="W336" s="953">
        <f t="shared" si="11"/>
        <v>100</v>
      </c>
      <c r="X336"/>
    </row>
    <row r="337" spans="11:24">
      <c r="K337"/>
      <c r="L337" s="60"/>
      <c r="M337" s="60"/>
      <c r="N337" s="60"/>
      <c r="O337" s="60"/>
      <c r="P337" s="60"/>
      <c r="Q337" s="60"/>
      <c r="R337" s="60"/>
      <c r="S337" s="60"/>
      <c r="T337" s="60"/>
      <c r="U337" s="60"/>
      <c r="V337" s="60"/>
      <c r="W337" s="60"/>
      <c r="X337"/>
    </row>
    <row r="338" spans="11:24">
      <c r="K338"/>
      <c r="L338" s="60"/>
      <c r="M338" s="60"/>
      <c r="N338" s="60"/>
      <c r="O338" s="60"/>
      <c r="P338" s="60"/>
      <c r="Q338" s="60"/>
      <c r="R338" s="60"/>
      <c r="S338" s="60"/>
      <c r="T338" s="60"/>
      <c r="U338" s="60"/>
      <c r="V338" s="60"/>
      <c r="W338" s="60"/>
      <c r="X338"/>
    </row>
    <row r="339" spans="11:24">
      <c r="K339" s="32"/>
      <c r="L339" s="60"/>
      <c r="M339" s="60"/>
      <c r="N339" s="60"/>
      <c r="O339" s="60"/>
      <c r="P339" s="60"/>
      <c r="Q339" s="60"/>
      <c r="R339" s="60"/>
      <c r="S339" s="60"/>
      <c r="T339" s="60"/>
      <c r="U339" s="60"/>
      <c r="V339" s="60"/>
      <c r="W339" s="60"/>
      <c r="X339"/>
    </row>
    <row r="340" spans="11:24">
      <c r="K340" t="s">
        <v>2923</v>
      </c>
      <c r="L340" s="60" t="s">
        <v>2924</v>
      </c>
      <c r="M340" s="954">
        <v>0.17453292519943295</v>
      </c>
      <c r="N340" s="954">
        <f t="shared" ref="N340:W340" si="12">RADIANS(N335)</f>
        <v>0.26179938779914941</v>
      </c>
      <c r="O340" s="954">
        <f t="shared" si="12"/>
        <v>0.3490658503988659</v>
      </c>
      <c r="P340" s="954">
        <f t="shared" si="12"/>
        <v>0.43633231299858238</v>
      </c>
      <c r="Q340" s="954">
        <f t="shared" si="12"/>
        <v>0.52359877559829882</v>
      </c>
      <c r="R340" s="954">
        <f t="shared" si="12"/>
        <v>0.6108652381980153</v>
      </c>
      <c r="S340" s="954">
        <f t="shared" si="12"/>
        <v>0.69813170079773179</v>
      </c>
      <c r="T340" s="954">
        <f t="shared" si="12"/>
        <v>0.78539816339744828</v>
      </c>
      <c r="U340" s="954">
        <f t="shared" si="12"/>
        <v>0.87266462599716477</v>
      </c>
      <c r="V340" s="954">
        <f t="shared" si="12"/>
        <v>0.95993108859688125</v>
      </c>
      <c r="W340" s="954">
        <f t="shared" si="12"/>
        <v>1.0471975511965976</v>
      </c>
      <c r="X340"/>
    </row>
    <row r="341" spans="11:24">
      <c r="K341"/>
      <c r="L341" s="60" t="s">
        <v>2925</v>
      </c>
      <c r="M341" s="923">
        <v>292.38044001630863</v>
      </c>
      <c r="N341" s="923">
        <f t="shared" ref="N341:W341" si="13">N336/COS(N340)</f>
        <v>103.5276180410083</v>
      </c>
      <c r="O341" s="923">
        <f t="shared" si="13"/>
        <v>106.4177772475912</v>
      </c>
      <c r="P341" s="923">
        <f t="shared" si="13"/>
        <v>110.33779189624917</v>
      </c>
      <c r="Q341" s="923">
        <f t="shared" si="13"/>
        <v>115.47005383792515</v>
      </c>
      <c r="R341" s="923">
        <f t="shared" si="13"/>
        <v>122.0774588761456</v>
      </c>
      <c r="S341" s="923">
        <f t="shared" si="13"/>
        <v>130.54072893322785</v>
      </c>
      <c r="T341" s="923">
        <f t="shared" si="13"/>
        <v>141.42135623730948</v>
      </c>
      <c r="U341" s="923">
        <f t="shared" si="13"/>
        <v>155.57238268604124</v>
      </c>
      <c r="V341" s="923">
        <f t="shared" si="13"/>
        <v>174.34467956210977</v>
      </c>
      <c r="W341" s="923">
        <f t="shared" si="13"/>
        <v>199.99999999999994</v>
      </c>
      <c r="X341"/>
    </row>
    <row r="342" spans="11:24">
      <c r="K342"/>
      <c r="L342" s="60"/>
      <c r="M342" s="923"/>
      <c r="N342" s="923"/>
      <c r="O342" s="923"/>
      <c r="P342" s="923"/>
      <c r="Q342" s="923"/>
      <c r="R342" s="923"/>
      <c r="S342" s="923"/>
      <c r="T342" s="923"/>
      <c r="U342" s="923"/>
      <c r="V342" s="923"/>
      <c r="W342" s="923"/>
      <c r="X342"/>
    </row>
    <row r="343" spans="11:24">
      <c r="K343"/>
      <c r="L343" s="32"/>
      <c r="M343" s="32"/>
      <c r="N343" s="32"/>
      <c r="O343" s="32"/>
      <c r="P343" s="32"/>
      <c r="Q343" s="32"/>
      <c r="R343" s="32"/>
      <c r="S343" s="32"/>
      <c r="T343" s="32"/>
      <c r="U343" s="32"/>
      <c r="V343" s="32"/>
      <c r="W343" s="32"/>
      <c r="X343"/>
    </row>
    <row r="344" spans="11:24">
      <c r="K344"/>
      <c r="L344" s="60"/>
      <c r="M344" s="953"/>
      <c r="N344" s="953"/>
      <c r="O344" s="953"/>
      <c r="P344" s="953"/>
      <c r="Q344" s="953"/>
      <c r="R344" s="953"/>
      <c r="S344" s="953"/>
      <c r="T344" s="953"/>
      <c r="U344" s="953"/>
      <c r="V344" s="953"/>
      <c r="W344" s="953"/>
      <c r="X344"/>
    </row>
    <row r="345" spans="11:24">
      <c r="K345" t="s">
        <v>2926</v>
      </c>
      <c r="L345" s="60" t="s">
        <v>2927</v>
      </c>
      <c r="M345" s="923">
        <v>171.01007166283441</v>
      </c>
      <c r="N345" s="923">
        <f t="shared" ref="N345:W345" si="14">10000*N334/N336^2*COS(N340)</f>
        <v>482.96291314453418</v>
      </c>
      <c r="O345" s="923">
        <f t="shared" si="14"/>
        <v>469.84631039295419</v>
      </c>
      <c r="P345" s="923">
        <f t="shared" si="14"/>
        <v>453.15389351832499</v>
      </c>
      <c r="Q345" s="923">
        <f t="shared" si="14"/>
        <v>433.01270189221935</v>
      </c>
      <c r="R345" s="923">
        <f t="shared" si="14"/>
        <v>409.57602214449588</v>
      </c>
      <c r="S345" s="923">
        <f t="shared" si="14"/>
        <v>383.02222155948903</v>
      </c>
      <c r="T345" s="923">
        <f t="shared" si="14"/>
        <v>353.55339059327378</v>
      </c>
      <c r="U345" s="923">
        <f t="shared" si="14"/>
        <v>321.39380484326966</v>
      </c>
      <c r="V345" s="923">
        <f t="shared" si="14"/>
        <v>286.78821817552307</v>
      </c>
      <c r="W345" s="923">
        <f t="shared" si="14"/>
        <v>250.00000000000006</v>
      </c>
      <c r="X345"/>
    </row>
    <row r="346" spans="11:24">
      <c r="K346"/>
      <c r="L346" s="60" t="s">
        <v>2928</v>
      </c>
      <c r="M346" s="955">
        <v>0.34202014332566882</v>
      </c>
      <c r="N346" s="955">
        <f t="shared" ref="N346:W346" si="15">N345/N334</f>
        <v>0.96592582628906842</v>
      </c>
      <c r="O346" s="955">
        <f t="shared" si="15"/>
        <v>0.93969262078590843</v>
      </c>
      <c r="P346" s="955">
        <f t="shared" si="15"/>
        <v>0.90630778703664994</v>
      </c>
      <c r="Q346" s="955">
        <f t="shared" si="15"/>
        <v>0.86602540378443871</v>
      </c>
      <c r="R346" s="955">
        <f t="shared" si="15"/>
        <v>0.8191520442889918</v>
      </c>
      <c r="S346" s="955">
        <f t="shared" si="15"/>
        <v>0.76604444311897801</v>
      </c>
      <c r="T346" s="955">
        <f t="shared" si="15"/>
        <v>0.70710678118654757</v>
      </c>
      <c r="U346" s="955">
        <f t="shared" si="15"/>
        <v>0.64278760968653936</v>
      </c>
      <c r="V346" s="955">
        <f t="shared" si="15"/>
        <v>0.57357643635104616</v>
      </c>
      <c r="W346" s="955">
        <f t="shared" si="15"/>
        <v>0.50000000000000011</v>
      </c>
      <c r="X346"/>
    </row>
    <row r="347" spans="11:24">
      <c r="K347"/>
      <c r="L347"/>
      <c r="M347"/>
      <c r="N347"/>
      <c r="O347"/>
      <c r="P347"/>
      <c r="Q347"/>
      <c r="R347"/>
      <c r="S347"/>
      <c r="T347"/>
      <c r="U347"/>
      <c r="V347"/>
      <c r="W347"/>
      <c r="X347"/>
    </row>
    <row r="348" spans="11:24">
      <c r="K348" s="502"/>
      <c r="L348" s="218"/>
      <c r="M348" s="32"/>
      <c r="N348" s="32"/>
      <c r="O348" s="32"/>
      <c r="P348"/>
      <c r="Q348"/>
      <c r="R348"/>
      <c r="S348"/>
      <c r="T348"/>
      <c r="U348"/>
      <c r="V348"/>
      <c r="W348"/>
      <c r="X348"/>
    </row>
    <row r="349" spans="11:24">
      <c r="K349" s="32"/>
      <c r="L349" s="218" t="s">
        <v>2929</v>
      </c>
      <c r="M349" s="32"/>
      <c r="N349" s="32"/>
      <c r="O349" s="32"/>
      <c r="P349"/>
      <c r="Q349"/>
      <c r="R349"/>
      <c r="S349"/>
      <c r="T349"/>
      <c r="U349"/>
      <c r="V349"/>
      <c r="W349"/>
      <c r="X349"/>
    </row>
    <row r="350" spans="11:24">
      <c r="K350" s="32"/>
      <c r="L350" s="60" t="s">
        <v>1911</v>
      </c>
      <c r="M350" s="956">
        <f t="shared" ref="M350:W350" si="16">M335</f>
        <v>10</v>
      </c>
      <c r="N350" s="956">
        <f t="shared" si="16"/>
        <v>15</v>
      </c>
      <c r="O350" s="956">
        <f t="shared" si="16"/>
        <v>20</v>
      </c>
      <c r="P350" s="956">
        <f t="shared" si="16"/>
        <v>25</v>
      </c>
      <c r="Q350" s="956">
        <f t="shared" si="16"/>
        <v>30</v>
      </c>
      <c r="R350" s="956">
        <f t="shared" si="16"/>
        <v>35</v>
      </c>
      <c r="S350" s="956">
        <f t="shared" si="16"/>
        <v>40</v>
      </c>
      <c r="T350" s="956">
        <f t="shared" si="16"/>
        <v>45</v>
      </c>
      <c r="U350" s="956">
        <f t="shared" si="16"/>
        <v>50</v>
      </c>
      <c r="V350" s="956">
        <f t="shared" si="16"/>
        <v>55</v>
      </c>
      <c r="W350" s="956">
        <f t="shared" si="16"/>
        <v>60</v>
      </c>
      <c r="X350"/>
    </row>
    <row r="351" spans="11:24">
      <c r="K351"/>
      <c r="L351" s="56" t="s">
        <v>2930</v>
      </c>
      <c r="M351" s="957">
        <f t="shared" ref="M351:W351" si="17">M341</f>
        <v>292.38044001630863</v>
      </c>
      <c r="N351" s="957">
        <f t="shared" si="17"/>
        <v>103.5276180410083</v>
      </c>
      <c r="O351" s="957">
        <f t="shared" si="17"/>
        <v>106.4177772475912</v>
      </c>
      <c r="P351" s="957">
        <f t="shared" si="17"/>
        <v>110.33779189624917</v>
      </c>
      <c r="Q351" s="957">
        <f t="shared" si="17"/>
        <v>115.47005383792515</v>
      </c>
      <c r="R351" s="957">
        <f t="shared" si="17"/>
        <v>122.0774588761456</v>
      </c>
      <c r="S351" s="957">
        <f t="shared" si="17"/>
        <v>130.54072893322785</v>
      </c>
      <c r="T351" s="957">
        <f t="shared" si="17"/>
        <v>141.42135623730948</v>
      </c>
      <c r="U351" s="957">
        <f t="shared" si="17"/>
        <v>155.57238268604124</v>
      </c>
      <c r="V351" s="957">
        <f t="shared" si="17"/>
        <v>174.34467956210977</v>
      </c>
      <c r="W351" s="957">
        <f t="shared" si="17"/>
        <v>199.99999999999994</v>
      </c>
      <c r="X351"/>
    </row>
    <row r="352" spans="11:24">
      <c r="K352"/>
      <c r="L352" s="56" t="s">
        <v>1650</v>
      </c>
      <c r="M352" s="958">
        <f t="shared" ref="M352:W352" si="18">M346*100</f>
        <v>34.202014332566883</v>
      </c>
      <c r="N352" s="958">
        <f t="shared" si="18"/>
        <v>96.59258262890684</v>
      </c>
      <c r="O352" s="958">
        <f t="shared" si="18"/>
        <v>93.969262078590845</v>
      </c>
      <c r="P352" s="958">
        <f t="shared" si="18"/>
        <v>90.630778703664987</v>
      </c>
      <c r="Q352" s="958">
        <f t="shared" si="18"/>
        <v>86.602540378443877</v>
      </c>
      <c r="R352" s="958">
        <f t="shared" si="18"/>
        <v>81.915204428899173</v>
      </c>
      <c r="S352" s="958">
        <f t="shared" si="18"/>
        <v>76.604444311897808</v>
      </c>
      <c r="T352" s="958">
        <f t="shared" si="18"/>
        <v>70.710678118654755</v>
      </c>
      <c r="U352" s="958">
        <f t="shared" si="18"/>
        <v>64.278760968653941</v>
      </c>
      <c r="V352" s="958">
        <f t="shared" si="18"/>
        <v>57.357643635104615</v>
      </c>
      <c r="W352" s="958">
        <f t="shared" si="18"/>
        <v>50.000000000000014</v>
      </c>
      <c r="X352"/>
    </row>
    <row r="353" spans="11:24">
      <c r="K353"/>
      <c r="L353"/>
      <c r="M353"/>
      <c r="N353"/>
      <c r="O353"/>
      <c r="P353"/>
      <c r="Q353"/>
      <c r="R353"/>
      <c r="S353"/>
      <c r="T353"/>
      <c r="U353"/>
      <c r="V353"/>
      <c r="W353"/>
      <c r="X353"/>
    </row>
    <row r="354" spans="11:24">
      <c r="K354"/>
      <c r="L354"/>
      <c r="M354"/>
      <c r="N354"/>
      <c r="O354"/>
      <c r="P354"/>
      <c r="Q354"/>
      <c r="R354"/>
      <c r="S354"/>
      <c r="T354"/>
      <c r="U354"/>
      <c r="V354"/>
      <c r="W354"/>
      <c r="X354"/>
    </row>
    <row r="355" spans="11:24">
      <c r="K355"/>
      <c r="L355"/>
      <c r="M355"/>
      <c r="N355"/>
      <c r="O355"/>
      <c r="P355"/>
      <c r="Q355"/>
      <c r="R355"/>
      <c r="S355"/>
      <c r="T355"/>
      <c r="U355"/>
      <c r="V355"/>
      <c r="W355"/>
      <c r="X355"/>
    </row>
    <row r="356" spans="11:24">
      <c r="K356"/>
      <c r="L356"/>
      <c r="M356"/>
      <c r="N356"/>
      <c r="O356"/>
      <c r="P356"/>
      <c r="Q356"/>
      <c r="R356"/>
      <c r="S356"/>
      <c r="T356"/>
      <c r="U356"/>
      <c r="V356"/>
      <c r="W356"/>
      <c r="X356"/>
    </row>
    <row r="357" spans="11:24">
      <c r="K357"/>
      <c r="L357"/>
      <c r="M357"/>
      <c r="N357"/>
      <c r="O357"/>
      <c r="P357"/>
      <c r="Q357"/>
      <c r="R357"/>
      <c r="S357"/>
      <c r="T357"/>
      <c r="U357"/>
      <c r="V357"/>
      <c r="W357"/>
      <c r="X357"/>
    </row>
    <row r="358" spans="11:24">
      <c r="K358"/>
      <c r="L358"/>
      <c r="M358"/>
      <c r="N358"/>
      <c r="O358"/>
      <c r="P358"/>
      <c r="Q358"/>
      <c r="R358"/>
      <c r="S358"/>
      <c r="T358"/>
      <c r="U358"/>
      <c r="V358"/>
      <c r="W358"/>
      <c r="X358"/>
    </row>
    <row r="359" spans="11:24">
      <c r="K359"/>
      <c r="L359"/>
      <c r="M359"/>
      <c r="N359"/>
      <c r="O359"/>
      <c r="P359"/>
      <c r="Q359"/>
      <c r="R359"/>
      <c r="S359"/>
      <c r="T359"/>
      <c r="U359"/>
      <c r="V359"/>
      <c r="W359"/>
      <c r="X359"/>
    </row>
    <row r="360" spans="11:24">
      <c r="K360"/>
      <c r="L360"/>
      <c r="M360"/>
      <c r="N360"/>
      <c r="O360"/>
      <c r="P360"/>
      <c r="Q360"/>
      <c r="R360"/>
      <c r="S360"/>
      <c r="T360"/>
      <c r="U360"/>
      <c r="V360"/>
      <c r="W360"/>
      <c r="X360"/>
    </row>
    <row r="361" spans="11:24">
      <c r="K361"/>
      <c r="L361"/>
      <c r="M361"/>
      <c r="N361"/>
      <c r="O361"/>
      <c r="P361"/>
      <c r="Q361"/>
      <c r="R361"/>
      <c r="S361"/>
      <c r="T361"/>
      <c r="U361"/>
      <c r="V361"/>
      <c r="W361"/>
      <c r="X361"/>
    </row>
    <row r="362" spans="11:24">
      <c r="K362"/>
      <c r="L362"/>
      <c r="M362"/>
      <c r="N362"/>
      <c r="O362"/>
      <c r="P362"/>
      <c r="Q362"/>
      <c r="R362"/>
      <c r="S362"/>
      <c r="T362"/>
      <c r="U362"/>
      <c r="V362"/>
      <c r="W362"/>
      <c r="X362"/>
    </row>
    <row r="363" spans="11:24">
      <c r="K363"/>
      <c r="L363"/>
      <c r="M363"/>
      <c r="N363"/>
      <c r="O363"/>
      <c r="P363"/>
      <c r="Q363"/>
      <c r="R363"/>
      <c r="S363"/>
      <c r="T363"/>
      <c r="U363"/>
      <c r="V363"/>
      <c r="W363"/>
      <c r="X363"/>
    </row>
    <row r="364" spans="11:24">
      <c r="K364"/>
      <c r="L364"/>
      <c r="M364"/>
      <c r="N364"/>
      <c r="O364"/>
      <c r="P364"/>
      <c r="Q364"/>
      <c r="R364"/>
      <c r="S364"/>
      <c r="T364"/>
      <c r="U364"/>
      <c r="V364"/>
      <c r="W364"/>
      <c r="X364"/>
    </row>
    <row r="365" spans="11:24">
      <c r="K365"/>
      <c r="L365"/>
      <c r="M365"/>
      <c r="N365"/>
      <c r="O365"/>
      <c r="P365"/>
      <c r="Q365"/>
      <c r="R365"/>
      <c r="S365"/>
      <c r="T365"/>
      <c r="U365"/>
      <c r="V365"/>
      <c r="W365"/>
      <c r="X365"/>
    </row>
    <row r="366" spans="11:24">
      <c r="K366"/>
      <c r="L366"/>
      <c r="M366"/>
      <c r="N366"/>
      <c r="O366"/>
      <c r="P366"/>
      <c r="Q366"/>
      <c r="R366"/>
      <c r="S366"/>
      <c r="T366"/>
      <c r="U366"/>
      <c r="V366"/>
      <c r="W366"/>
      <c r="X366"/>
    </row>
    <row r="367" spans="11:24">
      <c r="K367"/>
      <c r="L367"/>
      <c r="M367"/>
      <c r="N367"/>
      <c r="O367"/>
      <c r="P367"/>
      <c r="Q367"/>
      <c r="R367"/>
      <c r="S367"/>
      <c r="T367"/>
      <c r="U367"/>
      <c r="V367"/>
      <c r="W367"/>
      <c r="X367"/>
    </row>
    <row r="368" spans="11:24">
      <c r="K368"/>
      <c r="L368"/>
      <c r="M368"/>
      <c r="N368"/>
      <c r="O368"/>
      <c r="P368"/>
      <c r="Q368"/>
      <c r="R368"/>
      <c r="S368"/>
      <c r="T368"/>
      <c r="U368"/>
      <c r="V368"/>
      <c r="W368"/>
      <c r="X368"/>
    </row>
    <row r="369" spans="11:25">
      <c r="K369"/>
      <c r="L369"/>
      <c r="M369"/>
      <c r="N369"/>
      <c r="O369"/>
      <c r="P369"/>
      <c r="Q369"/>
      <c r="R369"/>
      <c r="S369"/>
      <c r="T369"/>
      <c r="U369"/>
      <c r="V369"/>
      <c r="W369"/>
      <c r="X369"/>
    </row>
    <row r="370" spans="11:25">
      <c r="K370"/>
      <c r="L370"/>
      <c r="M370"/>
      <c r="N370"/>
      <c r="O370"/>
      <c r="P370"/>
      <c r="Q370"/>
      <c r="R370"/>
      <c r="S370"/>
      <c r="T370"/>
      <c r="U370"/>
      <c r="V370"/>
      <c r="W370"/>
      <c r="X370"/>
    </row>
    <row r="371" spans="11:25">
      <c r="K371"/>
      <c r="L371"/>
      <c r="M371"/>
      <c r="N371"/>
      <c r="O371"/>
      <c r="P371"/>
      <c r="Q371"/>
      <c r="R371"/>
      <c r="S371"/>
      <c r="T371"/>
      <c r="U371"/>
      <c r="V371"/>
      <c r="W371"/>
      <c r="X371"/>
    </row>
    <row r="372" spans="11:25">
      <c r="K372"/>
      <c r="L372"/>
      <c r="M372"/>
      <c r="N372"/>
      <c r="O372"/>
      <c r="P372"/>
      <c r="Q372"/>
      <c r="R372"/>
      <c r="S372"/>
      <c r="T372"/>
      <c r="U372"/>
      <c r="V372"/>
      <c r="W372"/>
      <c r="X372"/>
    </row>
    <row r="373" spans="11:25">
      <c r="K373"/>
      <c r="L373"/>
      <c r="M373"/>
      <c r="N373"/>
      <c r="O373"/>
      <c r="P373"/>
      <c r="Q373"/>
      <c r="R373"/>
      <c r="S373"/>
      <c r="T373"/>
      <c r="U373"/>
      <c r="V373"/>
      <c r="W373"/>
      <c r="X373"/>
    </row>
    <row r="374" spans="11:25">
      <c r="K374"/>
      <c r="L374"/>
      <c r="M374"/>
      <c r="N374"/>
      <c r="O374"/>
      <c r="P374"/>
      <c r="Q374"/>
      <c r="R374"/>
      <c r="S374"/>
      <c r="T374"/>
      <c r="U374"/>
      <c r="V374"/>
      <c r="W374"/>
      <c r="X374"/>
    </row>
    <row r="375" spans="11:25">
      <c r="K375"/>
      <c r="L375"/>
      <c r="M375"/>
      <c r="N375"/>
      <c r="O375"/>
      <c r="P375"/>
      <c r="Q375"/>
      <c r="R375"/>
      <c r="S375"/>
      <c r="T375"/>
      <c r="U375"/>
      <c r="V375"/>
      <c r="W375"/>
      <c r="X375"/>
    </row>
    <row r="381" spans="11:25">
      <c r="K381"/>
      <c r="L381" s="318"/>
      <c r="M381"/>
      <c r="N381"/>
      <c r="O381"/>
      <c r="P381"/>
      <c r="Q381"/>
      <c r="R381"/>
      <c r="S381"/>
      <c r="T381"/>
      <c r="U381"/>
      <c r="V381"/>
      <c r="W381"/>
      <c r="X381"/>
      <c r="Y381"/>
    </row>
    <row r="382" spans="11:25">
      <c r="K382"/>
      <c r="L382" s="440" t="s">
        <v>2904</v>
      </c>
      <c r="M382"/>
      <c r="N382"/>
      <c r="O382"/>
      <c r="P382"/>
      <c r="Q382"/>
      <c r="R382"/>
      <c r="S382"/>
      <c r="T382"/>
      <c r="U382"/>
      <c r="V382"/>
      <c r="W382"/>
      <c r="X382"/>
      <c r="Y382"/>
    </row>
    <row r="383" spans="11:25">
      <c r="K383"/>
      <c r="L383" s="318"/>
      <c r="M383"/>
      <c r="N383"/>
      <c r="O383"/>
      <c r="P383"/>
      <c r="Q383"/>
      <c r="R383"/>
      <c r="S383"/>
      <c r="T383"/>
      <c r="U383"/>
      <c r="V383"/>
      <c r="W383"/>
      <c r="X383"/>
      <c r="Y383"/>
    </row>
    <row r="384" spans="11:25">
      <c r="K384" s="318"/>
      <c r="L384" s="318" t="s">
        <v>1870</v>
      </c>
      <c r="M384" s="945">
        <v>0</v>
      </c>
      <c r="N384" s="945">
        <f t="shared" ref="N384:Y384" si="19">M384+5</f>
        <v>5</v>
      </c>
      <c r="O384" s="945">
        <f t="shared" si="19"/>
        <v>10</v>
      </c>
      <c r="P384" s="945">
        <f t="shared" si="19"/>
        <v>15</v>
      </c>
      <c r="Q384" s="945">
        <f t="shared" si="19"/>
        <v>20</v>
      </c>
      <c r="R384" s="945">
        <f t="shared" si="19"/>
        <v>25</v>
      </c>
      <c r="S384" s="945">
        <f t="shared" si="19"/>
        <v>30</v>
      </c>
      <c r="T384" s="945">
        <f t="shared" si="19"/>
        <v>35</v>
      </c>
      <c r="U384" s="945">
        <f t="shared" si="19"/>
        <v>40</v>
      </c>
      <c r="V384" s="945">
        <f t="shared" si="19"/>
        <v>45</v>
      </c>
      <c r="W384" s="945">
        <f t="shared" si="19"/>
        <v>50</v>
      </c>
      <c r="X384" s="945">
        <f t="shared" si="19"/>
        <v>55</v>
      </c>
      <c r="Y384" s="945">
        <f t="shared" si="19"/>
        <v>60</v>
      </c>
    </row>
    <row r="385" spans="11:25">
      <c r="K385"/>
      <c r="L385" s="318"/>
      <c r="M385"/>
      <c r="N385"/>
      <c r="O385"/>
      <c r="P385"/>
      <c r="Q385"/>
      <c r="R385"/>
      <c r="S385"/>
      <c r="T385"/>
      <c r="U385"/>
      <c r="V385"/>
      <c r="W385"/>
      <c r="X385"/>
      <c r="Y385"/>
    </row>
    <row r="386" spans="11:25">
      <c r="K386" s="318" t="s">
        <v>2835</v>
      </c>
      <c r="L386" s="318" t="s">
        <v>1938</v>
      </c>
      <c r="M386" s="318">
        <f t="shared" ref="M386:Y386" si="20">2*PI()*M384/360</f>
        <v>0</v>
      </c>
      <c r="N386" s="318">
        <f t="shared" si="20"/>
        <v>8.7266462599716474E-2</v>
      </c>
      <c r="O386" s="318">
        <f t="shared" si="20"/>
        <v>0.17453292519943295</v>
      </c>
      <c r="P386" s="318">
        <f t="shared" si="20"/>
        <v>0.26179938779914941</v>
      </c>
      <c r="Q386" s="318">
        <f t="shared" si="20"/>
        <v>0.3490658503988659</v>
      </c>
      <c r="R386" s="318">
        <f t="shared" si="20"/>
        <v>0.43633231299858238</v>
      </c>
      <c r="S386" s="318">
        <f t="shared" si="20"/>
        <v>0.52359877559829882</v>
      </c>
      <c r="T386" s="318">
        <f t="shared" si="20"/>
        <v>0.6108652381980153</v>
      </c>
      <c r="U386" s="318">
        <f t="shared" si="20"/>
        <v>0.69813170079773179</v>
      </c>
      <c r="V386" s="318">
        <f t="shared" si="20"/>
        <v>0.78539816339744828</v>
      </c>
      <c r="W386" s="318">
        <f t="shared" si="20"/>
        <v>0.87266462599716477</v>
      </c>
      <c r="X386" s="318">
        <f t="shared" si="20"/>
        <v>0.95993108859688125</v>
      </c>
      <c r="Y386" s="318">
        <f t="shared" si="20"/>
        <v>1.0471975511965976</v>
      </c>
    </row>
    <row r="387" spans="11:25">
      <c r="K387" s="318" t="s">
        <v>2836</v>
      </c>
      <c r="L387" s="318"/>
      <c r="M387" s="318"/>
      <c r="N387" s="318"/>
      <c r="O387" s="318"/>
      <c r="P387" s="318"/>
      <c r="Q387" s="318"/>
      <c r="R387" s="318"/>
      <c r="S387" s="318"/>
      <c r="T387" s="318"/>
      <c r="U387" s="318"/>
      <c r="V387" s="318"/>
      <c r="W387" s="318"/>
      <c r="X387" s="318"/>
      <c r="Y387" s="318"/>
    </row>
    <row r="388" spans="11:25">
      <c r="K388" s="945">
        <v>2</v>
      </c>
      <c r="L388" s="946" t="str">
        <f>"Cosinus hoch "&amp;K388</f>
        <v>Cosinus hoch 2</v>
      </c>
      <c r="M388" s="947">
        <f>(COS(M386))^K388</f>
        <v>1</v>
      </c>
      <c r="N388" s="947">
        <f>(COS(N386))^K388</f>
        <v>0.99240387650610407</v>
      </c>
      <c r="O388" s="947">
        <f>(COS(O386))^K388</f>
        <v>0.9698463103929541</v>
      </c>
      <c r="P388" s="947">
        <f>(COS(P386))^K388</f>
        <v>0.93301270189221941</v>
      </c>
      <c r="Q388" s="947">
        <f>(COS(Q386))^K388</f>
        <v>0.88302222155948906</v>
      </c>
      <c r="R388" s="947">
        <f>(COS(R386))^K388</f>
        <v>0.82139380484326963</v>
      </c>
      <c r="S388" s="947">
        <f>(COS(S386))^K388</f>
        <v>0.75000000000000011</v>
      </c>
      <c r="T388" s="947">
        <f>(COS(T386))^K388</f>
        <v>0.67101007166283433</v>
      </c>
      <c r="U388" s="947">
        <f>(COS(U386))^K388</f>
        <v>0.58682408883346515</v>
      </c>
      <c r="V388" s="947">
        <f>(COS(V386))^K388</f>
        <v>0.50000000000000011</v>
      </c>
      <c r="W388" s="947">
        <f>(COS(W386))^K388</f>
        <v>0.41317591116653485</v>
      </c>
      <c r="X388" s="947">
        <f>(COS(X386))^K388</f>
        <v>0.32898992833716573</v>
      </c>
      <c r="Y388" s="947">
        <f>(COS(Y386))^K388</f>
        <v>0.25000000000000011</v>
      </c>
    </row>
    <row r="389" spans="11:25">
      <c r="K389" s="318"/>
      <c r="L389" s="318"/>
      <c r="M389" s="318"/>
      <c r="N389" s="318"/>
      <c r="O389" s="318"/>
      <c r="P389" s="318"/>
      <c r="Q389" s="318"/>
      <c r="R389" s="318"/>
      <c r="S389" s="318"/>
      <c r="T389" s="318"/>
      <c r="U389" s="318"/>
      <c r="V389" s="318"/>
      <c r="W389" s="318"/>
      <c r="X389" s="318"/>
      <c r="Y389" s="318"/>
    </row>
    <row r="390" spans="11:25">
      <c r="K390"/>
      <c r="L390" s="318"/>
      <c r="M390"/>
      <c r="N390"/>
      <c r="O390"/>
      <c r="P390"/>
      <c r="Q390"/>
      <c r="R390"/>
      <c r="S390"/>
      <c r="T390"/>
      <c r="U390"/>
      <c r="V390"/>
      <c r="W390"/>
      <c r="X390"/>
      <c r="Y390"/>
    </row>
    <row r="391" spans="11:25">
      <c r="K391"/>
      <c r="L391" s="318"/>
      <c r="M391"/>
      <c r="N391"/>
      <c r="O391"/>
      <c r="P391"/>
      <c r="Q391"/>
      <c r="R391"/>
      <c r="S391"/>
      <c r="T391"/>
      <c r="U391"/>
      <c r="V391"/>
      <c r="W391"/>
      <c r="X391"/>
      <c r="Y391"/>
    </row>
    <row r="392" spans="11:25">
      <c r="K392"/>
      <c r="L392" s="318"/>
      <c r="M392"/>
      <c r="N392"/>
      <c r="O392"/>
      <c r="P392"/>
      <c r="Q392"/>
      <c r="R392"/>
      <c r="S392"/>
      <c r="T392"/>
      <c r="U392"/>
      <c r="V392"/>
      <c r="W392"/>
      <c r="X392"/>
      <c r="Y392"/>
    </row>
    <row r="393" spans="11:25">
      <c r="K393"/>
      <c r="L393" s="318"/>
      <c r="M393"/>
      <c r="N393"/>
      <c r="O393"/>
      <c r="P393"/>
      <c r="Q393"/>
      <c r="R393"/>
      <c r="S393"/>
      <c r="T393"/>
      <c r="U393"/>
      <c r="V393"/>
      <c r="W393"/>
      <c r="X393"/>
      <c r="Y393"/>
    </row>
    <row r="394" spans="11:25">
      <c r="K394"/>
      <c r="L394" s="318"/>
      <c r="M394"/>
      <c r="N394"/>
      <c r="O394"/>
      <c r="P394"/>
      <c r="Q394"/>
      <c r="R394"/>
      <c r="S394"/>
      <c r="T394"/>
      <c r="U394"/>
      <c r="V394"/>
      <c r="W394"/>
      <c r="X394"/>
      <c r="Y394"/>
    </row>
    <row r="395" spans="11:25">
      <c r="K395"/>
      <c r="L395" s="318"/>
      <c r="M395"/>
      <c r="N395"/>
      <c r="O395"/>
      <c r="P395"/>
      <c r="Q395"/>
      <c r="R395"/>
      <c r="S395"/>
      <c r="T395"/>
      <c r="U395"/>
      <c r="V395"/>
      <c r="W395"/>
      <c r="X395"/>
      <c r="Y395"/>
    </row>
    <row r="396" spans="11:25">
      <c r="K396"/>
      <c r="L396" s="318"/>
      <c r="M396"/>
      <c r="N396"/>
      <c r="O396"/>
      <c r="P396"/>
      <c r="Q396"/>
      <c r="R396"/>
      <c r="S396"/>
      <c r="T396"/>
      <c r="U396"/>
      <c r="V396"/>
      <c r="W396"/>
      <c r="X396"/>
      <c r="Y396"/>
    </row>
    <row r="397" spans="11:25">
      <c r="K397"/>
      <c r="L397" s="318"/>
      <c r="M397"/>
      <c r="N397"/>
      <c r="O397"/>
      <c r="P397"/>
      <c r="Q397"/>
      <c r="R397"/>
      <c r="S397"/>
      <c r="T397"/>
      <c r="U397"/>
      <c r="V397"/>
      <c r="W397"/>
      <c r="X397"/>
      <c r="Y397"/>
    </row>
    <row r="398" spans="11:25">
      <c r="K398"/>
      <c r="L398" s="318"/>
      <c r="M398"/>
      <c r="N398"/>
      <c r="O398"/>
      <c r="P398"/>
      <c r="Q398"/>
      <c r="R398"/>
      <c r="S398"/>
      <c r="T398"/>
      <c r="U398"/>
      <c r="V398"/>
      <c r="W398"/>
      <c r="X398"/>
      <c r="Y398"/>
    </row>
    <row r="399" spans="11:25">
      <c r="K399"/>
      <c r="L399" s="318"/>
      <c r="M399"/>
      <c r="N399"/>
      <c r="O399"/>
      <c r="P399"/>
      <c r="Q399"/>
      <c r="R399"/>
      <c r="S399"/>
      <c r="T399"/>
      <c r="U399"/>
      <c r="V399"/>
      <c r="W399"/>
      <c r="X399"/>
      <c r="Y399"/>
    </row>
    <row r="400" spans="11:25">
      <c r="K400"/>
      <c r="L400" s="318"/>
      <c r="M400"/>
      <c r="N400"/>
      <c r="O400"/>
      <c r="P400"/>
      <c r="Q400"/>
      <c r="R400"/>
      <c r="S400"/>
      <c r="T400"/>
      <c r="U400"/>
      <c r="V400"/>
      <c r="W400"/>
      <c r="X400"/>
      <c r="Y400"/>
    </row>
    <row r="401" spans="11:25">
      <c r="K401"/>
      <c r="L401" s="318"/>
      <c r="M401"/>
      <c r="N401"/>
      <c r="O401"/>
      <c r="P401"/>
      <c r="Q401"/>
      <c r="R401"/>
      <c r="S401"/>
      <c r="T401"/>
      <c r="U401"/>
      <c r="V401"/>
      <c r="W401"/>
      <c r="X401"/>
      <c r="Y401"/>
    </row>
    <row r="402" spans="11:25">
      <c r="K402"/>
      <c r="L402" s="318"/>
      <c r="M402"/>
      <c r="N402"/>
      <c r="O402"/>
      <c r="P402"/>
      <c r="Q402"/>
      <c r="R402"/>
      <c r="S402"/>
      <c r="T402"/>
      <c r="U402"/>
      <c r="V402"/>
      <c r="W402"/>
      <c r="X402"/>
      <c r="Y402"/>
    </row>
    <row r="403" spans="11:25">
      <c r="K403"/>
      <c r="L403" s="318"/>
      <c r="M403"/>
      <c r="N403"/>
      <c r="O403"/>
      <c r="P403"/>
      <c r="Q403"/>
      <c r="R403"/>
      <c r="S403"/>
      <c r="T403"/>
      <c r="U403"/>
      <c r="V403"/>
      <c r="W403"/>
      <c r="X403"/>
      <c r="Y403"/>
    </row>
    <row r="404" spans="11:25">
      <c r="K404"/>
      <c r="L404" s="318"/>
      <c r="M404"/>
      <c r="N404"/>
      <c r="O404"/>
      <c r="P404"/>
      <c r="Q404"/>
      <c r="R404"/>
      <c r="S404"/>
      <c r="T404"/>
      <c r="U404"/>
      <c r="V404"/>
      <c r="W404"/>
      <c r="X404"/>
      <c r="Y404"/>
    </row>
    <row r="405" spans="11:25">
      <c r="K405"/>
      <c r="L405" s="318"/>
      <c r="M405"/>
      <c r="N405"/>
      <c r="O405"/>
      <c r="P405"/>
      <c r="Q405"/>
      <c r="R405"/>
      <c r="S405"/>
      <c r="T405"/>
      <c r="U405"/>
      <c r="V405"/>
      <c r="W405"/>
      <c r="X405"/>
      <c r="Y405"/>
    </row>
    <row r="406" spans="11:25">
      <c r="K406"/>
      <c r="L406" s="318"/>
      <c r="M406"/>
      <c r="N406"/>
      <c r="O406"/>
      <c r="P406"/>
      <c r="Q406"/>
      <c r="R406"/>
      <c r="S406"/>
      <c r="T406"/>
      <c r="U406"/>
      <c r="V406"/>
      <c r="W406"/>
      <c r="X406"/>
      <c r="Y406"/>
    </row>
    <row r="407" spans="11:25">
      <c r="K407"/>
      <c r="L407" s="318"/>
      <c r="M407"/>
      <c r="N407"/>
      <c r="O407"/>
      <c r="P407"/>
      <c r="Q407"/>
      <c r="R407"/>
      <c r="S407"/>
      <c r="T407"/>
      <c r="U407"/>
      <c r="V407"/>
      <c r="W407"/>
      <c r="X407"/>
      <c r="Y407"/>
    </row>
    <row r="408" spans="11:25">
      <c r="K408"/>
      <c r="L408" s="318"/>
      <c r="M408"/>
      <c r="N408"/>
      <c r="O408"/>
      <c r="P408"/>
      <c r="Q408"/>
      <c r="R408"/>
      <c r="S408"/>
      <c r="T408"/>
      <c r="U408"/>
      <c r="V408"/>
      <c r="W408"/>
      <c r="X408"/>
      <c r="Y408"/>
    </row>
  </sheetData>
  <pageMargins left="0.78740157499999996" right="0.78740157499999996" top="0.984251969" bottom="0.984251969" header="0.4921259845" footer="0.4921259845"/>
  <pageSetup paperSize="9" orientation="portrait" horizontalDpi="200" verticalDpi="2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8">
    <pageSetUpPr fitToPage="1"/>
  </sheetPr>
  <dimension ref="B2:I117"/>
  <sheetViews>
    <sheetView zoomScaleNormal="100" workbookViewId="0">
      <selection activeCell="R18" sqref="R18"/>
    </sheetView>
  </sheetViews>
  <sheetFormatPr baseColWidth="10" defaultColWidth="11.42578125" defaultRowHeight="12.75"/>
  <cols>
    <col min="1" max="1" width="4" style="1" customWidth="1"/>
    <col min="2" max="2" width="25.85546875" style="1" customWidth="1"/>
    <col min="3" max="3" width="9.42578125" style="1" customWidth="1"/>
    <col min="4" max="16384" width="11.42578125" style="1"/>
  </cols>
  <sheetData>
    <row r="2" spans="2:4">
      <c r="B2" s="1" t="s">
        <v>2797</v>
      </c>
    </row>
    <row r="3" spans="2:4">
      <c r="B3" s="1" t="s">
        <v>2798</v>
      </c>
    </row>
    <row r="4" spans="2:4">
      <c r="B4" s="519" t="s">
        <v>2799</v>
      </c>
    </row>
    <row r="6" spans="2:4" ht="14.25">
      <c r="B6" s="936" t="s">
        <v>2785</v>
      </c>
    </row>
    <row r="7" spans="2:4" ht="14.25">
      <c r="B7" s="937" t="s">
        <v>2786</v>
      </c>
    </row>
    <row r="9" spans="2:4">
      <c r="B9" s="165" t="s">
        <v>317</v>
      </c>
      <c r="C9" s="235">
        <v>36</v>
      </c>
      <c r="D9" s="1" t="s">
        <v>344</v>
      </c>
    </row>
    <row r="10" spans="2:4">
      <c r="B10" s="165" t="s">
        <v>318</v>
      </c>
      <c r="C10" s="235">
        <v>24</v>
      </c>
      <c r="D10" s="1" t="s">
        <v>344</v>
      </c>
    </row>
    <row r="11" spans="2:4">
      <c r="B11" s="165" t="s">
        <v>1773</v>
      </c>
      <c r="C11" s="235">
        <v>30</v>
      </c>
      <c r="D11" s="1" t="s">
        <v>344</v>
      </c>
    </row>
    <row r="12" spans="2:4">
      <c r="B12" s="165"/>
    </row>
    <row r="14" spans="2:4">
      <c r="B14" s="165" t="s">
        <v>2693</v>
      </c>
      <c r="C14" s="1">
        <f>C11/2</f>
        <v>15</v>
      </c>
      <c r="D14" s="1" t="s">
        <v>344</v>
      </c>
    </row>
    <row r="15" spans="2:4">
      <c r="B15" s="165" t="s">
        <v>2787</v>
      </c>
      <c r="C15" s="1">
        <f>C11</f>
        <v>30</v>
      </c>
      <c r="D15" s="1" t="s">
        <v>344</v>
      </c>
    </row>
    <row r="16" spans="2:4">
      <c r="B16" s="165" t="s">
        <v>214</v>
      </c>
      <c r="C16" s="292">
        <f>PI()*C14^2</f>
        <v>706.85834705770344</v>
      </c>
      <c r="D16" s="1" t="s">
        <v>355</v>
      </c>
    </row>
    <row r="17" spans="2:6">
      <c r="B17" s="165"/>
    </row>
    <row r="18" spans="2:6">
      <c r="B18" s="165" t="s">
        <v>2788</v>
      </c>
      <c r="C18" s="373">
        <f>(C10/2)/C14</f>
        <v>0.8</v>
      </c>
    </row>
    <row r="19" spans="2:6">
      <c r="B19" s="165" t="s">
        <v>1938</v>
      </c>
      <c r="C19" s="1">
        <f>ACOS(C18)</f>
        <v>0.64350110879328426</v>
      </c>
    </row>
    <row r="20" spans="2:6">
      <c r="B20" s="165" t="s">
        <v>2789</v>
      </c>
      <c r="C20" s="373">
        <f>DEGREES(C19)</f>
        <v>36.869897645844013</v>
      </c>
      <c r="D20" s="1" t="s">
        <v>2253</v>
      </c>
    </row>
    <row r="21" spans="2:6">
      <c r="B21" s="165" t="s">
        <v>2104</v>
      </c>
      <c r="C21" s="1">
        <f>C20*2</f>
        <v>73.739795291688026</v>
      </c>
      <c r="D21" s="1" t="s">
        <v>2253</v>
      </c>
    </row>
    <row r="23" spans="2:6">
      <c r="B23" s="165" t="s">
        <v>2790</v>
      </c>
      <c r="C23" s="1">
        <f>RADIANS(C21)</f>
        <v>1.2870022175865685</v>
      </c>
    </row>
    <row r="24" spans="2:6">
      <c r="B24" s="165" t="s">
        <v>2791</v>
      </c>
      <c r="C24" s="373">
        <f>SIN(C23)</f>
        <v>0.96</v>
      </c>
    </row>
    <row r="25" spans="2:6">
      <c r="B25" s="165"/>
    </row>
    <row r="26" spans="2:6">
      <c r="B26" s="165" t="s">
        <v>2792</v>
      </c>
      <c r="C26" s="1">
        <f>(C14^2)/2*(C23-C24)</f>
        <v>36.787749478488962</v>
      </c>
      <c r="D26" s="1" t="s">
        <v>355</v>
      </c>
    </row>
    <row r="27" spans="2:6">
      <c r="B27" s="165"/>
      <c r="D27" s="938"/>
      <c r="E27" s="939"/>
    </row>
    <row r="28" spans="2:6">
      <c r="B28" s="165" t="s">
        <v>2793</v>
      </c>
      <c r="C28" s="1">
        <f>C16-2*C26</f>
        <v>633.28284810072546</v>
      </c>
      <c r="D28" s="1" t="s">
        <v>355</v>
      </c>
      <c r="F28" s="1" t="s">
        <v>2794</v>
      </c>
    </row>
    <row r="29" spans="2:6">
      <c r="B29" s="165"/>
    </row>
    <row r="30" spans="2:6">
      <c r="B30" s="165" t="s">
        <v>2795</v>
      </c>
      <c r="C30" s="292">
        <f>C9*C10</f>
        <v>864</v>
      </c>
      <c r="D30" s="1" t="s">
        <v>355</v>
      </c>
    </row>
    <row r="31" spans="2:6">
      <c r="B31" s="239"/>
    </row>
    <row r="32" spans="2:6">
      <c r="B32" s="165" t="s">
        <v>2796</v>
      </c>
      <c r="C32" s="394">
        <f>C28/C30</f>
        <v>0.7329662593758397</v>
      </c>
    </row>
    <row r="33" spans="2:9">
      <c r="B33" s="3"/>
      <c r="C33" s="3"/>
      <c r="D33" s="3"/>
      <c r="E33" s="3"/>
      <c r="F33" s="3"/>
      <c r="G33" s="3"/>
      <c r="H33" s="3"/>
      <c r="I33" s="3"/>
    </row>
    <row r="34" spans="2:9" ht="18">
      <c r="B34" s="239"/>
      <c r="C34" s="16"/>
      <c r="D34" s="3"/>
      <c r="E34" s="940"/>
      <c r="F34" s="940"/>
      <c r="G34" s="940"/>
      <c r="H34" s="940"/>
      <c r="I34" s="940"/>
    </row>
    <row r="35" spans="2:9" ht="18">
      <c r="B35" s="941"/>
      <c r="C35" s="942"/>
      <c r="D35" s="3"/>
      <c r="E35" s="940"/>
      <c r="F35" s="940"/>
      <c r="G35" s="940"/>
      <c r="H35" s="940"/>
      <c r="I35" s="940"/>
    </row>
    <row r="36" spans="2:9">
      <c r="B36" s="243"/>
      <c r="C36" s="248"/>
      <c r="D36" s="3"/>
      <c r="E36" s="2"/>
      <c r="F36" s="2"/>
      <c r="G36" s="2"/>
      <c r="H36" s="2"/>
      <c r="I36" s="2"/>
    </row>
    <row r="37" spans="2:9">
      <c r="B37" s="243"/>
      <c r="C37" s="248"/>
      <c r="D37" s="3"/>
      <c r="E37" s="2"/>
      <c r="F37" s="2"/>
      <c r="G37" s="2"/>
      <c r="H37" s="2"/>
      <c r="I37" s="2"/>
    </row>
    <row r="38" spans="2:9">
      <c r="B38" s="243"/>
      <c r="C38" s="248"/>
      <c r="D38" s="3"/>
      <c r="E38" s="2"/>
      <c r="F38" s="2"/>
      <c r="G38" s="2"/>
      <c r="H38" s="2"/>
      <c r="I38" s="2"/>
    </row>
    <row r="39" spans="2:9">
      <c r="B39" s="243"/>
      <c r="C39" s="248"/>
      <c r="D39" s="2"/>
      <c r="E39" s="2"/>
      <c r="F39" s="2"/>
      <c r="G39" s="2"/>
      <c r="H39" s="2"/>
      <c r="I39" s="2"/>
    </row>
    <row r="40" spans="2:9">
      <c r="B40" s="1" t="s">
        <v>2800</v>
      </c>
      <c r="D40" s="2"/>
      <c r="E40" s="2"/>
      <c r="F40" s="2"/>
      <c r="G40" s="2"/>
      <c r="H40" s="2"/>
      <c r="I40" s="2"/>
    </row>
    <row r="41" spans="2:9">
      <c r="B41" s="1" t="s">
        <v>2801</v>
      </c>
      <c r="D41" s="3"/>
      <c r="E41" s="3"/>
      <c r="F41" s="2"/>
      <c r="G41" s="2"/>
      <c r="H41" s="2"/>
      <c r="I41" s="2"/>
    </row>
    <row r="42" spans="2:9">
      <c r="B42" s="1" t="s">
        <v>2802</v>
      </c>
      <c r="D42" s="3"/>
      <c r="E42" s="3"/>
      <c r="F42" s="2"/>
      <c r="G42" s="2"/>
      <c r="H42" s="2"/>
      <c r="I42" s="2"/>
    </row>
    <row r="43" spans="2:9">
      <c r="B43" s="1" t="s">
        <v>2803</v>
      </c>
      <c r="D43" s="3"/>
      <c r="E43" s="3"/>
      <c r="F43" s="3"/>
      <c r="G43" s="3"/>
      <c r="H43" s="3"/>
      <c r="I43" s="3"/>
    </row>
    <row r="44" spans="2:9">
      <c r="B44" s="1" t="s">
        <v>2804</v>
      </c>
      <c r="D44" s="3"/>
      <c r="E44" s="3"/>
      <c r="F44" s="3"/>
      <c r="G44" s="3"/>
      <c r="H44" s="3"/>
      <c r="I44" s="3"/>
    </row>
    <row r="45" spans="2:9">
      <c r="D45" s="3"/>
      <c r="E45" s="3"/>
      <c r="F45" s="3"/>
      <c r="G45" s="3"/>
      <c r="H45" s="3"/>
      <c r="I45" s="3"/>
    </row>
    <row r="46" spans="2:9">
      <c r="F46" s="3"/>
      <c r="G46" s="3"/>
      <c r="H46" s="3"/>
      <c r="I46" s="3"/>
    </row>
    <row r="47" spans="2:9">
      <c r="B47" s="1" t="s">
        <v>2805</v>
      </c>
      <c r="F47" s="3"/>
      <c r="G47" s="3"/>
      <c r="H47" s="3"/>
      <c r="I47" s="3"/>
    </row>
    <row r="48" spans="2:9">
      <c r="B48" s="1" t="s">
        <v>2806</v>
      </c>
      <c r="D48" s="3"/>
      <c r="E48" s="3"/>
      <c r="F48" s="3"/>
      <c r="G48" s="3"/>
      <c r="H48" s="3"/>
      <c r="I48" s="3"/>
    </row>
    <row r="49" spans="2:9">
      <c r="B49" s="1" t="s">
        <v>2807</v>
      </c>
      <c r="D49" s="3"/>
      <c r="E49" s="3"/>
      <c r="F49" s="3"/>
      <c r="G49" s="3"/>
      <c r="H49" s="3"/>
      <c r="I49" s="3"/>
    </row>
    <row r="50" spans="2:9">
      <c r="B50" s="3"/>
      <c r="C50" s="3"/>
      <c r="D50" s="3"/>
      <c r="E50" s="3"/>
      <c r="F50" s="3"/>
      <c r="G50" s="3"/>
      <c r="H50" s="3"/>
      <c r="I50" s="3"/>
    </row>
    <row r="51" spans="2:9">
      <c r="B51" s="3"/>
      <c r="C51" s="3"/>
      <c r="D51" s="3"/>
      <c r="E51" s="3"/>
      <c r="F51" s="3"/>
      <c r="G51" s="3"/>
      <c r="H51" s="3"/>
      <c r="I51" s="3"/>
    </row>
    <row r="52" spans="2:9">
      <c r="B52" s="3"/>
      <c r="C52" s="3"/>
      <c r="D52" s="3"/>
      <c r="E52" s="3"/>
      <c r="F52" s="3"/>
      <c r="G52" s="3"/>
      <c r="H52" s="3"/>
      <c r="I52" s="3"/>
    </row>
    <row r="53" spans="2:9">
      <c r="B53" s="3"/>
      <c r="C53" s="3"/>
      <c r="D53" s="3"/>
      <c r="E53" s="3"/>
      <c r="F53" s="3"/>
      <c r="G53" s="3"/>
      <c r="H53" s="3"/>
      <c r="I53" s="3"/>
    </row>
    <row r="54" spans="2:9">
      <c r="B54" s="3"/>
      <c r="C54" s="3"/>
      <c r="D54" s="943"/>
      <c r="E54" s="3"/>
      <c r="F54" s="3"/>
      <c r="G54" s="3"/>
      <c r="H54" s="3"/>
      <c r="I54" s="3"/>
    </row>
    <row r="55" spans="2:9">
      <c r="B55" s="3"/>
      <c r="C55" s="3"/>
      <c r="D55" s="3"/>
      <c r="E55" s="3"/>
      <c r="F55" s="3"/>
      <c r="G55" s="3"/>
      <c r="H55" s="3"/>
      <c r="I55" s="3"/>
    </row>
    <row r="56" spans="2:9">
      <c r="B56" s="3"/>
      <c r="C56" s="3"/>
      <c r="D56" s="3"/>
      <c r="E56" s="3"/>
      <c r="F56" s="3"/>
      <c r="G56" s="3"/>
      <c r="H56" s="3"/>
      <c r="I56" s="3"/>
    </row>
    <row r="57" spans="2:9">
      <c r="B57" s="3"/>
      <c r="C57" s="3"/>
      <c r="D57" s="3"/>
      <c r="E57" s="3"/>
      <c r="F57" s="3"/>
      <c r="G57" s="3"/>
      <c r="H57" s="3"/>
      <c r="I57" s="3"/>
    </row>
    <row r="58" spans="2:9">
      <c r="B58" s="3"/>
      <c r="C58" s="3"/>
      <c r="D58" s="3"/>
      <c r="E58" s="3"/>
      <c r="F58" s="3"/>
      <c r="G58" s="3"/>
      <c r="H58" s="3"/>
      <c r="I58" s="3"/>
    </row>
    <row r="59" spans="2:9">
      <c r="B59" s="3"/>
      <c r="C59" s="3"/>
      <c r="D59" s="3"/>
      <c r="E59" s="3"/>
      <c r="F59" s="3"/>
      <c r="G59" s="3"/>
      <c r="H59" s="3"/>
      <c r="I59" s="3"/>
    </row>
    <row r="60" spans="2:9">
      <c r="B60" s="3"/>
      <c r="C60" s="3"/>
      <c r="D60" s="3"/>
      <c r="E60" s="3"/>
      <c r="F60" s="3"/>
      <c r="G60" s="3"/>
      <c r="H60" s="3"/>
      <c r="I60" s="3"/>
    </row>
    <row r="61" spans="2:9">
      <c r="B61" s="3"/>
      <c r="C61" s="3"/>
      <c r="E61" s="3"/>
      <c r="F61" s="3"/>
      <c r="G61" s="3"/>
      <c r="H61" s="3"/>
      <c r="I61" s="3"/>
    </row>
    <row r="62" spans="2:9">
      <c r="B62" s="3"/>
      <c r="C62" s="3"/>
      <c r="D62" s="3"/>
      <c r="E62" s="3"/>
      <c r="F62" s="3"/>
      <c r="G62" s="3"/>
      <c r="H62" s="3"/>
      <c r="I62" s="3"/>
    </row>
    <row r="63" spans="2:9">
      <c r="B63" s="3"/>
      <c r="C63" s="3"/>
      <c r="D63" s="3"/>
      <c r="E63" s="3"/>
      <c r="F63" s="3"/>
      <c r="G63" s="3"/>
      <c r="H63" s="3"/>
      <c r="I63" s="3"/>
    </row>
    <row r="64" spans="2:9">
      <c r="B64" s="3"/>
      <c r="C64" s="3"/>
      <c r="D64" s="3"/>
      <c r="E64" s="3"/>
      <c r="F64" s="3"/>
      <c r="G64" s="3"/>
      <c r="H64" s="3"/>
      <c r="I64" s="3"/>
    </row>
    <row r="67" spans="2:7">
      <c r="B67" s="1" t="s">
        <v>2808</v>
      </c>
    </row>
    <row r="68" spans="2:7">
      <c r="B68" s="1" t="s">
        <v>2809</v>
      </c>
    </row>
    <row r="69" spans="2:7">
      <c r="B69" s="1" t="s">
        <v>2810</v>
      </c>
    </row>
    <row r="70" spans="2:7">
      <c r="B70" s="1" t="s">
        <v>2811</v>
      </c>
    </row>
    <row r="72" spans="2:7">
      <c r="B72" s="1" t="s">
        <v>520</v>
      </c>
      <c r="C72" s="326">
        <v>36</v>
      </c>
      <c r="D72" s="1" t="s">
        <v>344</v>
      </c>
    </row>
    <row r="73" spans="2:7">
      <c r="B73" s="1" t="s">
        <v>526</v>
      </c>
      <c r="C73" s="326">
        <v>24</v>
      </c>
      <c r="D73" s="1" t="s">
        <v>344</v>
      </c>
    </row>
    <row r="74" spans="2:7">
      <c r="B74" s="11" t="s">
        <v>1773</v>
      </c>
      <c r="C74" s="326">
        <v>50</v>
      </c>
      <c r="D74" s="1" t="s">
        <v>344</v>
      </c>
    </row>
    <row r="76" spans="2:7">
      <c r="B76" s="1" t="s">
        <v>2812</v>
      </c>
      <c r="C76" s="1">
        <f>SQRT(C72^2+C73^2)</f>
        <v>43.266615305567875</v>
      </c>
      <c r="D76" s="1" t="s">
        <v>344</v>
      </c>
    </row>
    <row r="77" spans="2:7">
      <c r="B77" s="11" t="s">
        <v>2813</v>
      </c>
      <c r="C77" s="1">
        <f>SQRT(C74^2+(C76/2)^2)</f>
        <v>54.479353887504942</v>
      </c>
      <c r="D77" s="1" t="s">
        <v>344</v>
      </c>
    </row>
    <row r="78" spans="2:7">
      <c r="G78" s="1" t="s">
        <v>2814</v>
      </c>
    </row>
    <row r="79" spans="2:7">
      <c r="B79" s="1" t="s">
        <v>2815</v>
      </c>
      <c r="C79" s="1">
        <f>C77/C74</f>
        <v>1.0895870777500989</v>
      </c>
      <c r="G79" s="1" t="s">
        <v>2816</v>
      </c>
    </row>
    <row r="80" spans="2:7">
      <c r="B80" s="1" t="s">
        <v>2817</v>
      </c>
      <c r="C80" s="1">
        <f>DEGREES(ATAN((C76/2)/C74))</f>
        <v>23.396501671982787</v>
      </c>
      <c r="D80" s="1" t="s">
        <v>2253</v>
      </c>
    </row>
    <row r="81" spans="2:9">
      <c r="B81" s="1" t="s">
        <v>2818</v>
      </c>
      <c r="C81" s="381">
        <f>1/C79^2</f>
        <v>0.84231805929919135</v>
      </c>
    </row>
    <row r="83" spans="2:9">
      <c r="B83" s="1" t="str">
        <f>"Die Abbildung in der Bildecke ist "&amp; ROUND(C79,2)&amp;" mal breiter und höher als im Bildkreiszentrum."</f>
        <v>Die Abbildung in der Bildecke ist 1,09 mal breiter und höher als im Bildkreiszentrum.</v>
      </c>
    </row>
    <row r="84" spans="2:9">
      <c r="B84" s="1" t="str">
        <f>"Die Abbildung in der Bildecke hat eine "&amp; ROUND(C79^2,2)&amp;" mal größere Fläche als im Bildkreiszentrum."</f>
        <v>Die Abbildung in der Bildecke hat eine 1,19 mal größere Fläche als im Bildkreiszentrum.</v>
      </c>
    </row>
    <row r="85" spans="2:9">
      <c r="B85" s="1" t="str">
        <f>"Die Helligkeit in der Bildecke ist "&amp; ROUND(1/C79^2,2)&amp;" mal geringer als im Bildkreiszentrum."</f>
        <v>Die Helligkeit in der Bildecke ist 0,84 mal geringer als im Bildkreiszentrum.</v>
      </c>
    </row>
    <row r="86" spans="2:9">
      <c r="B86" s="11"/>
      <c r="C86" s="11"/>
      <c r="D86" s="11"/>
      <c r="E86" s="11"/>
      <c r="F86" s="11"/>
      <c r="G86" s="11"/>
      <c r="H86" s="11"/>
      <c r="I86" s="11"/>
    </row>
    <row r="89" spans="2:9">
      <c r="B89" s="1" t="s">
        <v>2819</v>
      </c>
    </row>
    <row r="90" spans="2:9">
      <c r="B90" s="1" t="s">
        <v>2820</v>
      </c>
    </row>
    <row r="91" spans="2:9">
      <c r="B91" s="1" t="s">
        <v>2821</v>
      </c>
    </row>
    <row r="92" spans="2:9">
      <c r="B92" s="1" t="s">
        <v>2822</v>
      </c>
    </row>
    <row r="94" spans="2:9">
      <c r="B94" s="1" t="s">
        <v>520</v>
      </c>
      <c r="C94" s="326">
        <v>9</v>
      </c>
      <c r="D94" s="1" t="s">
        <v>212</v>
      </c>
    </row>
    <row r="95" spans="2:9">
      <c r="B95" s="1" t="s">
        <v>526</v>
      </c>
      <c r="C95" s="326">
        <v>12</v>
      </c>
      <c r="D95" s="1" t="s">
        <v>212</v>
      </c>
    </row>
    <row r="96" spans="2:9">
      <c r="B96" s="1" t="s">
        <v>1773</v>
      </c>
      <c r="C96" s="326">
        <v>12</v>
      </c>
      <c r="D96" s="1" t="s">
        <v>212</v>
      </c>
    </row>
    <row r="98" spans="2:4">
      <c r="B98" s="1" t="s">
        <v>2823</v>
      </c>
    </row>
    <row r="99" spans="2:4">
      <c r="B99" s="1" t="s">
        <v>2824</v>
      </c>
      <c r="C99" s="1">
        <f>C96</f>
        <v>12</v>
      </c>
      <c r="D99" s="1" t="s">
        <v>212</v>
      </c>
    </row>
    <row r="100" spans="2:4">
      <c r="B100" s="1" t="s">
        <v>2825</v>
      </c>
      <c r="C100" s="1">
        <f>C99/2</f>
        <v>6</v>
      </c>
      <c r="D100" s="1" t="s">
        <v>212</v>
      </c>
    </row>
    <row r="101" spans="2:4">
      <c r="B101" s="1" t="s">
        <v>2826</v>
      </c>
      <c r="C101" s="1">
        <f>PI()*C100^2</f>
        <v>113.09733552923255</v>
      </c>
      <c r="D101" s="1" t="s">
        <v>215</v>
      </c>
    </row>
    <row r="102" spans="2:4">
      <c r="B102" s="1" t="s">
        <v>2827</v>
      </c>
      <c r="C102" s="1">
        <f>C101/4</f>
        <v>28.274333882308138</v>
      </c>
      <c r="D102" s="1" t="s">
        <v>215</v>
      </c>
    </row>
    <row r="104" spans="2:4">
      <c r="B104" s="1" t="s">
        <v>2828</v>
      </c>
      <c r="C104" s="1">
        <f>C94*C95</f>
        <v>108</v>
      </c>
      <c r="D104" s="1" t="s">
        <v>215</v>
      </c>
    </row>
    <row r="106" spans="2:4">
      <c r="B106" s="1" t="s">
        <v>2829</v>
      </c>
      <c r="C106" s="944">
        <f>1-C102/C104</f>
        <v>0.73820061220085065</v>
      </c>
    </row>
    <row r="113" spans="2:3">
      <c r="B113" s="1" t="s">
        <v>0</v>
      </c>
      <c r="C113" s="1" t="s">
        <v>2830</v>
      </c>
    </row>
    <row r="114" spans="2:3">
      <c r="C114" s="1" t="s">
        <v>2831</v>
      </c>
    </row>
    <row r="115" spans="2:3">
      <c r="C115" s="1" t="s">
        <v>2832</v>
      </c>
    </row>
    <row r="116" spans="2:3">
      <c r="C116" s="1" t="s">
        <v>2833</v>
      </c>
    </row>
    <row r="117" spans="2:3">
      <c r="C117" s="1" t="s">
        <v>2834</v>
      </c>
    </row>
  </sheetData>
  <pageMargins left="0.78740157499999996" right="0.78740157499999996" top="0.984251969" bottom="0.984251969" header="0.4921259845" footer="0.4921259845"/>
  <pageSetup paperSize="9" scale="5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B1:K72"/>
  <sheetViews>
    <sheetView workbookViewId="0">
      <selection activeCell="U69" sqref="U69"/>
    </sheetView>
  </sheetViews>
  <sheetFormatPr baseColWidth="10" defaultColWidth="11.42578125" defaultRowHeight="12.75"/>
  <cols>
    <col min="1" max="1" width="11.42578125" style="47"/>
    <col min="2" max="2" width="14.28515625" style="47" customWidth="1"/>
    <col min="3" max="16384" width="11.42578125" style="47"/>
  </cols>
  <sheetData>
    <row r="1" spans="2:2">
      <c r="B1" s="47" t="s">
        <v>128</v>
      </c>
    </row>
    <row r="3" spans="2:2">
      <c r="B3" s="47" t="s">
        <v>129</v>
      </c>
    </row>
    <row r="4" spans="2:2">
      <c r="B4" s="47" t="s">
        <v>130</v>
      </c>
    </row>
    <row r="5" spans="2:2">
      <c r="B5" s="47" t="s">
        <v>131</v>
      </c>
    </row>
    <row r="6" spans="2:2">
      <c r="B6" s="47" t="s">
        <v>132</v>
      </c>
    </row>
    <row r="7" spans="2:2">
      <c r="B7" s="47" t="s">
        <v>133</v>
      </c>
    </row>
    <row r="8" spans="2:2">
      <c r="B8" s="47" t="s">
        <v>134</v>
      </c>
    </row>
    <row r="9" spans="2:2">
      <c r="B9" s="47" t="s">
        <v>135</v>
      </c>
    </row>
    <row r="10" spans="2:2">
      <c r="B10" s="47" t="s">
        <v>136</v>
      </c>
    </row>
    <row r="12" spans="2:2">
      <c r="B12" s="47" t="s">
        <v>137</v>
      </c>
    </row>
    <row r="13" spans="2:2">
      <c r="B13" s="47" t="s">
        <v>138</v>
      </c>
    </row>
    <row r="14" spans="2:2">
      <c r="B14" s="47" t="s">
        <v>139</v>
      </c>
    </row>
    <row r="15" spans="2:2">
      <c r="B15" s="47" t="s">
        <v>140</v>
      </c>
    </row>
    <row r="16" spans="2:2">
      <c r="B16" s="47" t="s">
        <v>141</v>
      </c>
    </row>
    <row r="18" spans="2:11">
      <c r="B18" s="47" t="s">
        <v>142</v>
      </c>
    </row>
    <row r="19" spans="2:11">
      <c r="B19" s="47" t="s">
        <v>143</v>
      </c>
      <c r="C19" s="47" t="s">
        <v>144</v>
      </c>
      <c r="D19" s="47" t="s">
        <v>145</v>
      </c>
      <c r="E19" s="47" t="s">
        <v>146</v>
      </c>
    </row>
    <row r="20" spans="2:11">
      <c r="B20" s="47" t="s">
        <v>147</v>
      </c>
      <c r="C20" s="47" t="s">
        <v>148</v>
      </c>
      <c r="D20" s="47" t="s">
        <v>149</v>
      </c>
      <c r="E20" s="47" t="s">
        <v>150</v>
      </c>
    </row>
    <row r="23" spans="2:11">
      <c r="B23" s="47" t="s">
        <v>151</v>
      </c>
    </row>
    <row r="24" spans="2:11">
      <c r="B24" s="47" t="s">
        <v>152</v>
      </c>
    </row>
    <row r="25" spans="2:11">
      <c r="B25" s="47" t="s">
        <v>153</v>
      </c>
    </row>
    <row r="26" spans="2:11">
      <c r="B26" s="47" t="s">
        <v>154</v>
      </c>
    </row>
    <row r="28" spans="2:11">
      <c r="B28" s="47" t="s">
        <v>155</v>
      </c>
    </row>
    <row r="30" spans="2:11">
      <c r="B30" s="48" t="s">
        <v>156</v>
      </c>
      <c r="C30" s="49">
        <v>2</v>
      </c>
      <c r="D30" s="50"/>
      <c r="E30" s="50"/>
      <c r="F30" s="50"/>
      <c r="G30" s="50"/>
      <c r="H30" s="50"/>
      <c r="I30" s="50"/>
      <c r="J30" s="50"/>
      <c r="K30" s="50"/>
    </row>
    <row r="31" spans="2:11">
      <c r="B31" s="51"/>
      <c r="C31" s="52"/>
      <c r="D31" s="50"/>
      <c r="E31" s="50"/>
      <c r="F31" s="50"/>
      <c r="G31" s="50"/>
      <c r="H31" s="50"/>
      <c r="I31" s="50"/>
      <c r="J31" s="50"/>
      <c r="K31" s="50"/>
    </row>
    <row r="32" spans="2:11">
      <c r="B32" s="51" t="s">
        <v>157</v>
      </c>
      <c r="C32" s="49">
        <v>10</v>
      </c>
      <c r="D32" s="53">
        <f>C32*C30</f>
        <v>20</v>
      </c>
      <c r="E32" s="53"/>
      <c r="F32" s="53"/>
      <c r="G32" s="53"/>
      <c r="H32" s="53"/>
      <c r="I32" s="53"/>
      <c r="J32" s="53"/>
      <c r="K32" s="53"/>
    </row>
    <row r="33" spans="2:11">
      <c r="B33" s="51"/>
      <c r="C33" s="53">
        <f>C32*C30</f>
        <v>20</v>
      </c>
      <c r="D33" s="54"/>
      <c r="E33" s="54"/>
      <c r="F33" s="54"/>
      <c r="G33" s="54"/>
      <c r="H33" s="54"/>
      <c r="I33" s="54"/>
      <c r="J33" s="54"/>
      <c r="K33" s="54"/>
    </row>
    <row r="34" spans="2:11">
      <c r="B34" s="51"/>
      <c r="C34" s="53"/>
      <c r="D34" s="54"/>
      <c r="E34" s="54"/>
      <c r="F34" s="54"/>
      <c r="G34" s="54"/>
      <c r="H34" s="54"/>
      <c r="I34" s="54"/>
      <c r="J34" s="54"/>
      <c r="K34" s="54"/>
    </row>
    <row r="35" spans="2:11">
      <c r="B35" s="51"/>
      <c r="C35" s="53"/>
      <c r="D35" s="54"/>
      <c r="E35" s="55" t="s">
        <v>158</v>
      </c>
      <c r="F35" s="54"/>
      <c r="G35" s="54"/>
      <c r="H35" s="54"/>
      <c r="I35" s="54"/>
      <c r="J35" s="54"/>
      <c r="K35" s="54"/>
    </row>
    <row r="36" spans="2:11">
      <c r="B36" s="51"/>
      <c r="C36" s="53"/>
      <c r="D36" s="54"/>
      <c r="E36" s="55" t="s">
        <v>159</v>
      </c>
      <c r="F36" s="54"/>
      <c r="G36" s="54"/>
      <c r="H36" s="54"/>
      <c r="I36" s="54"/>
      <c r="J36" s="54"/>
      <c r="K36" s="54"/>
    </row>
    <row r="37" spans="2:11">
      <c r="B37" s="51"/>
      <c r="C37" s="53"/>
      <c r="D37" s="54"/>
      <c r="E37" s="54"/>
      <c r="F37" s="54"/>
      <c r="G37" s="54"/>
      <c r="H37" s="54"/>
      <c r="I37" s="54"/>
      <c r="J37" s="54"/>
      <c r="K37" s="54"/>
    </row>
    <row r="38" spans="2:11">
      <c r="B38" s="51"/>
      <c r="C38" s="53"/>
      <c r="D38" s="54"/>
      <c r="E38" s="54"/>
      <c r="F38" s="54"/>
      <c r="G38" s="54"/>
      <c r="H38" s="54"/>
      <c r="I38" s="54"/>
      <c r="J38" s="54"/>
      <c r="K38" s="54"/>
    </row>
    <row r="39" spans="2:11">
      <c r="B39" s="51"/>
      <c r="C39" s="53"/>
      <c r="D39" s="54"/>
      <c r="E39" s="54"/>
      <c r="F39" s="54"/>
      <c r="G39" s="54"/>
      <c r="H39" s="54"/>
      <c r="I39" s="54"/>
      <c r="J39" s="54"/>
      <c r="K39" s="54"/>
    </row>
    <row r="40" spans="2:11">
      <c r="B40" s="51"/>
      <c r="C40" s="53"/>
      <c r="D40" s="54"/>
      <c r="E40" s="54"/>
      <c r="F40" s="54"/>
      <c r="G40" s="54"/>
      <c r="H40" s="54"/>
      <c r="I40" s="54"/>
      <c r="J40" s="54"/>
      <c r="K40" s="54"/>
    </row>
    <row r="41" spans="2:11">
      <c r="B41" s="51"/>
      <c r="C41" s="53"/>
      <c r="D41" s="54"/>
      <c r="E41" s="54"/>
      <c r="F41" s="54"/>
      <c r="G41" s="54"/>
      <c r="H41" s="54"/>
      <c r="I41" s="54"/>
      <c r="J41" s="54"/>
      <c r="K41" s="54"/>
    </row>
    <row r="42" spans="2:11">
      <c r="B42" s="51"/>
      <c r="C42" s="53"/>
      <c r="D42" s="54"/>
      <c r="E42" s="54"/>
      <c r="F42" s="54"/>
      <c r="G42" s="54"/>
      <c r="H42" s="54"/>
      <c r="I42" s="54"/>
      <c r="J42" s="54"/>
      <c r="K42" s="54"/>
    </row>
    <row r="43" spans="2:11">
      <c r="B43" s="51"/>
      <c r="C43" s="51"/>
      <c r="D43" s="51"/>
      <c r="E43" s="51"/>
      <c r="F43" s="51"/>
      <c r="G43" s="51"/>
      <c r="H43" s="51"/>
      <c r="I43" s="51"/>
      <c r="J43" s="51"/>
      <c r="K43" s="51"/>
    </row>
    <row r="44" spans="2:11">
      <c r="B44" s="51"/>
    </row>
    <row r="45" spans="2:11">
      <c r="B45" s="51" t="s">
        <v>160</v>
      </c>
    </row>
    <row r="46" spans="2:11">
      <c r="B46" s="51"/>
    </row>
    <row r="47" spans="2:11">
      <c r="B47" s="48" t="s">
        <v>156</v>
      </c>
      <c r="C47" s="49">
        <v>2</v>
      </c>
      <c r="D47" s="50"/>
      <c r="E47" s="50"/>
      <c r="F47" s="50"/>
      <c r="G47" s="50"/>
      <c r="H47" s="50"/>
      <c r="I47" s="50"/>
      <c r="J47" s="50"/>
      <c r="K47" s="50"/>
    </row>
    <row r="48" spans="2:11">
      <c r="B48" s="51"/>
      <c r="C48" s="52"/>
      <c r="D48" s="50"/>
      <c r="E48" s="50"/>
      <c r="F48" s="50"/>
      <c r="G48" s="50"/>
      <c r="H48" s="50"/>
      <c r="I48" s="50"/>
      <c r="J48" s="50"/>
      <c r="K48" s="50"/>
    </row>
    <row r="49" spans="2:11">
      <c r="B49" s="51" t="s">
        <v>157</v>
      </c>
      <c r="C49" s="49">
        <v>10</v>
      </c>
      <c r="D49" s="53">
        <f>C49*$C$47</f>
        <v>20</v>
      </c>
      <c r="E49" s="53">
        <f t="shared" ref="E49:K49" si="0">D49*$C$47</f>
        <v>40</v>
      </c>
      <c r="F49" s="53">
        <f t="shared" si="0"/>
        <v>80</v>
      </c>
      <c r="G49" s="53">
        <f t="shared" si="0"/>
        <v>160</v>
      </c>
      <c r="H49" s="53">
        <f t="shared" si="0"/>
        <v>320</v>
      </c>
      <c r="I49" s="53">
        <f t="shared" si="0"/>
        <v>640</v>
      </c>
      <c r="J49" s="53">
        <f t="shared" si="0"/>
        <v>1280</v>
      </c>
      <c r="K49" s="53">
        <f t="shared" si="0"/>
        <v>2560</v>
      </c>
    </row>
    <row r="50" spans="2:11">
      <c r="B50" s="51"/>
      <c r="C50" s="53">
        <f>$C49*$C$47</f>
        <v>20</v>
      </c>
      <c r="D50" s="53">
        <f t="shared" ref="D50:K59" si="1">C50*$C$47</f>
        <v>40</v>
      </c>
      <c r="E50" s="53">
        <f t="shared" si="1"/>
        <v>80</v>
      </c>
      <c r="F50" s="53">
        <f t="shared" si="1"/>
        <v>160</v>
      </c>
      <c r="G50" s="53">
        <f t="shared" si="1"/>
        <v>320</v>
      </c>
      <c r="H50" s="53">
        <f t="shared" si="1"/>
        <v>640</v>
      </c>
      <c r="I50" s="53">
        <f t="shared" si="1"/>
        <v>1280</v>
      </c>
      <c r="J50" s="53">
        <f t="shared" si="1"/>
        <v>2560</v>
      </c>
      <c r="K50" s="53">
        <f t="shared" si="1"/>
        <v>5120</v>
      </c>
    </row>
    <row r="51" spans="2:11">
      <c r="B51" s="51"/>
      <c r="C51" s="53">
        <f t="shared" ref="C51:C59" si="2">$C50*$C$47</f>
        <v>40</v>
      </c>
      <c r="D51" s="53">
        <f t="shared" si="1"/>
        <v>80</v>
      </c>
      <c r="E51" s="53">
        <f t="shared" si="1"/>
        <v>160</v>
      </c>
      <c r="F51" s="53">
        <f t="shared" si="1"/>
        <v>320</v>
      </c>
      <c r="G51" s="53">
        <f t="shared" si="1"/>
        <v>640</v>
      </c>
      <c r="H51" s="53">
        <f t="shared" si="1"/>
        <v>1280</v>
      </c>
      <c r="I51" s="53">
        <f t="shared" si="1"/>
        <v>2560</v>
      </c>
      <c r="J51" s="53">
        <f t="shared" si="1"/>
        <v>5120</v>
      </c>
      <c r="K51" s="53">
        <f t="shared" si="1"/>
        <v>10240</v>
      </c>
    </row>
    <row r="52" spans="2:11">
      <c r="B52" s="51"/>
      <c r="C52" s="53">
        <f t="shared" si="2"/>
        <v>80</v>
      </c>
      <c r="D52" s="53">
        <f t="shared" si="1"/>
        <v>160</v>
      </c>
      <c r="E52" s="53">
        <f t="shared" si="1"/>
        <v>320</v>
      </c>
      <c r="F52" s="53">
        <f t="shared" si="1"/>
        <v>640</v>
      </c>
      <c r="G52" s="53">
        <f t="shared" si="1"/>
        <v>1280</v>
      </c>
      <c r="H52" s="53">
        <f t="shared" si="1"/>
        <v>2560</v>
      </c>
      <c r="I52" s="53">
        <f t="shared" si="1"/>
        <v>5120</v>
      </c>
      <c r="J52" s="53">
        <f t="shared" si="1"/>
        <v>10240</v>
      </c>
      <c r="K52" s="53">
        <f t="shared" si="1"/>
        <v>20480</v>
      </c>
    </row>
    <row r="53" spans="2:11">
      <c r="B53" s="51"/>
      <c r="C53" s="53">
        <f t="shared" si="2"/>
        <v>160</v>
      </c>
      <c r="D53" s="53">
        <f t="shared" si="1"/>
        <v>320</v>
      </c>
      <c r="E53" s="53">
        <f t="shared" si="1"/>
        <v>640</v>
      </c>
      <c r="F53" s="53">
        <f t="shared" si="1"/>
        <v>1280</v>
      </c>
      <c r="G53" s="53">
        <f t="shared" si="1"/>
        <v>2560</v>
      </c>
      <c r="H53" s="53">
        <f t="shared" si="1"/>
        <v>5120</v>
      </c>
      <c r="I53" s="53">
        <f t="shared" si="1"/>
        <v>10240</v>
      </c>
      <c r="J53" s="53">
        <f t="shared" si="1"/>
        <v>20480</v>
      </c>
      <c r="K53" s="53">
        <f t="shared" si="1"/>
        <v>40960</v>
      </c>
    </row>
    <row r="54" spans="2:11">
      <c r="B54" s="51"/>
      <c r="C54" s="53">
        <f t="shared" si="2"/>
        <v>320</v>
      </c>
      <c r="D54" s="53">
        <f t="shared" si="1"/>
        <v>640</v>
      </c>
      <c r="E54" s="53">
        <f t="shared" si="1"/>
        <v>1280</v>
      </c>
      <c r="F54" s="53">
        <f t="shared" si="1"/>
        <v>2560</v>
      </c>
      <c r="G54" s="53">
        <f t="shared" si="1"/>
        <v>5120</v>
      </c>
      <c r="H54" s="53">
        <f t="shared" si="1"/>
        <v>10240</v>
      </c>
      <c r="I54" s="53">
        <f t="shared" si="1"/>
        <v>20480</v>
      </c>
      <c r="J54" s="53">
        <f t="shared" si="1"/>
        <v>40960</v>
      </c>
      <c r="K54" s="53">
        <f t="shared" si="1"/>
        <v>81920</v>
      </c>
    </row>
    <row r="55" spans="2:11">
      <c r="B55" s="51"/>
      <c r="C55" s="53">
        <f t="shared" si="2"/>
        <v>640</v>
      </c>
      <c r="D55" s="53">
        <f t="shared" si="1"/>
        <v>1280</v>
      </c>
      <c r="E55" s="53">
        <f t="shared" si="1"/>
        <v>2560</v>
      </c>
      <c r="F55" s="53">
        <f t="shared" si="1"/>
        <v>5120</v>
      </c>
      <c r="G55" s="53">
        <f t="shared" si="1"/>
        <v>10240</v>
      </c>
      <c r="H55" s="53">
        <f t="shared" si="1"/>
        <v>20480</v>
      </c>
      <c r="I55" s="53">
        <f t="shared" si="1"/>
        <v>40960</v>
      </c>
      <c r="J55" s="53">
        <f t="shared" si="1"/>
        <v>81920</v>
      </c>
      <c r="K55" s="53">
        <f t="shared" si="1"/>
        <v>163840</v>
      </c>
    </row>
    <row r="56" spans="2:11">
      <c r="B56" s="51"/>
      <c r="C56" s="53">
        <f t="shared" si="2"/>
        <v>1280</v>
      </c>
      <c r="D56" s="53">
        <f t="shared" si="1"/>
        <v>2560</v>
      </c>
      <c r="E56" s="53">
        <f t="shared" si="1"/>
        <v>5120</v>
      </c>
      <c r="F56" s="53">
        <f t="shared" si="1"/>
        <v>10240</v>
      </c>
      <c r="G56" s="53">
        <f t="shared" si="1"/>
        <v>20480</v>
      </c>
      <c r="H56" s="53">
        <f t="shared" si="1"/>
        <v>40960</v>
      </c>
      <c r="I56" s="53">
        <f t="shared" si="1"/>
        <v>81920</v>
      </c>
      <c r="J56" s="53">
        <f t="shared" si="1"/>
        <v>163840</v>
      </c>
      <c r="K56" s="53">
        <f t="shared" si="1"/>
        <v>327680</v>
      </c>
    </row>
    <row r="57" spans="2:11">
      <c r="B57" s="51"/>
      <c r="C57" s="53">
        <f t="shared" si="2"/>
        <v>2560</v>
      </c>
      <c r="D57" s="53">
        <f t="shared" si="1"/>
        <v>5120</v>
      </c>
      <c r="E57" s="53">
        <f t="shared" si="1"/>
        <v>10240</v>
      </c>
      <c r="F57" s="53">
        <f t="shared" si="1"/>
        <v>20480</v>
      </c>
      <c r="G57" s="53">
        <f t="shared" si="1"/>
        <v>40960</v>
      </c>
      <c r="H57" s="53">
        <f t="shared" si="1"/>
        <v>81920</v>
      </c>
      <c r="I57" s="53">
        <f t="shared" si="1"/>
        <v>163840</v>
      </c>
      <c r="J57" s="53">
        <f t="shared" si="1"/>
        <v>327680</v>
      </c>
      <c r="K57" s="53">
        <f t="shared" si="1"/>
        <v>655360</v>
      </c>
    </row>
    <row r="58" spans="2:11">
      <c r="B58" s="51"/>
      <c r="C58" s="53">
        <f t="shared" si="2"/>
        <v>5120</v>
      </c>
      <c r="D58" s="53">
        <f t="shared" si="1"/>
        <v>10240</v>
      </c>
      <c r="E58" s="53">
        <f t="shared" si="1"/>
        <v>20480</v>
      </c>
      <c r="F58" s="53">
        <f t="shared" si="1"/>
        <v>40960</v>
      </c>
      <c r="G58" s="53">
        <f t="shared" si="1"/>
        <v>81920</v>
      </c>
      <c r="H58" s="53">
        <f t="shared" si="1"/>
        <v>163840</v>
      </c>
      <c r="I58" s="53">
        <f t="shared" si="1"/>
        <v>327680</v>
      </c>
      <c r="J58" s="53">
        <f t="shared" si="1"/>
        <v>655360</v>
      </c>
      <c r="K58" s="53">
        <f t="shared" si="1"/>
        <v>1310720</v>
      </c>
    </row>
    <row r="59" spans="2:11">
      <c r="B59" s="51"/>
      <c r="C59" s="53">
        <f t="shared" si="2"/>
        <v>10240</v>
      </c>
      <c r="D59" s="53">
        <f t="shared" si="1"/>
        <v>20480</v>
      </c>
      <c r="E59" s="53">
        <f t="shared" si="1"/>
        <v>40960</v>
      </c>
      <c r="F59" s="53">
        <f t="shared" si="1"/>
        <v>81920</v>
      </c>
      <c r="G59" s="53">
        <f t="shared" si="1"/>
        <v>163840</v>
      </c>
      <c r="H59" s="53">
        <f t="shared" si="1"/>
        <v>327680</v>
      </c>
      <c r="I59" s="53">
        <f t="shared" si="1"/>
        <v>655360</v>
      </c>
      <c r="J59" s="53">
        <f t="shared" si="1"/>
        <v>1310720</v>
      </c>
      <c r="K59" s="53">
        <f t="shared" si="1"/>
        <v>2621440</v>
      </c>
    </row>
    <row r="65" spans="2:2">
      <c r="B65" s="47" t="s">
        <v>128</v>
      </c>
    </row>
    <row r="67" spans="2:2">
      <c r="B67" s="47" t="s">
        <v>3638</v>
      </c>
    </row>
    <row r="68" spans="2:2">
      <c r="B68" s="47" t="s">
        <v>3639</v>
      </c>
    </row>
    <row r="70" spans="2:2">
      <c r="B70" s="47" t="s">
        <v>139</v>
      </c>
    </row>
    <row r="71" spans="2:2">
      <c r="B71" s="47" t="s">
        <v>140</v>
      </c>
    </row>
    <row r="72" spans="2:2">
      <c r="B72" s="47" t="s">
        <v>141</v>
      </c>
    </row>
  </sheetData>
  <pageMargins left="0.78740157499999996" right="0.78740157499999996" top="0.984251969" bottom="0.984251969" header="0.4921259845" footer="0.492125984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2"/>
  <dimension ref="A1:Q210"/>
  <sheetViews>
    <sheetView zoomScale="80" zoomScaleNormal="80" workbookViewId="0">
      <selection activeCell="R43" sqref="R43"/>
    </sheetView>
  </sheetViews>
  <sheetFormatPr baseColWidth="10" defaultColWidth="11.42578125" defaultRowHeight="12.75"/>
  <cols>
    <col min="1" max="1" width="11.42578125" style="831"/>
    <col min="2" max="2" width="41.42578125" style="831" customWidth="1"/>
    <col min="3" max="3" width="8.5703125" style="831" customWidth="1"/>
    <col min="4" max="4" width="11.42578125" style="831"/>
    <col min="5" max="5" width="15.140625" style="831" customWidth="1"/>
    <col min="6" max="7" width="11.42578125" style="831"/>
    <col min="8" max="17" width="11.42578125" style="839"/>
    <col min="18" max="16384" width="11.42578125" style="831"/>
  </cols>
  <sheetData>
    <row r="1" spans="1:7">
      <c r="A1" s="839"/>
      <c r="B1" s="839"/>
      <c r="C1" s="839"/>
      <c r="D1" s="839"/>
      <c r="E1" s="839"/>
      <c r="F1" s="839"/>
      <c r="G1" s="839"/>
    </row>
    <row r="2" spans="1:7">
      <c r="A2" s="839"/>
      <c r="B2" s="839" t="s">
        <v>2931</v>
      </c>
      <c r="C2" s="839"/>
      <c r="D2" s="839"/>
      <c r="E2" s="839"/>
      <c r="F2" s="839"/>
      <c r="G2" s="839"/>
    </row>
    <row r="3" spans="1:7">
      <c r="A3" s="839"/>
      <c r="B3" s="839" t="s">
        <v>2932</v>
      </c>
      <c r="C3" s="839"/>
      <c r="D3" s="839"/>
      <c r="E3" s="839"/>
      <c r="F3" s="839"/>
      <c r="G3" s="839"/>
    </row>
    <row r="4" spans="1:7">
      <c r="A4" s="839"/>
      <c r="B4" s="839"/>
      <c r="C4" s="839"/>
      <c r="D4" s="839"/>
      <c r="E4" s="839"/>
      <c r="F4" s="839"/>
      <c r="G4" s="839"/>
    </row>
    <row r="5" spans="1:7">
      <c r="A5" s="839"/>
      <c r="B5" s="839" t="s">
        <v>2933</v>
      </c>
      <c r="C5" s="839"/>
      <c r="D5" s="839"/>
      <c r="E5" s="839"/>
      <c r="F5" s="839"/>
      <c r="G5" s="839"/>
    </row>
    <row r="6" spans="1:7">
      <c r="A6" s="839"/>
      <c r="B6" s="839" t="s">
        <v>2934</v>
      </c>
      <c r="C6" s="839"/>
      <c r="D6" s="839"/>
      <c r="E6" s="839"/>
      <c r="F6" s="839"/>
      <c r="G6" s="839"/>
    </row>
    <row r="7" spans="1:7">
      <c r="A7" s="839"/>
      <c r="B7" s="839"/>
      <c r="C7" s="839"/>
      <c r="D7" s="839"/>
      <c r="E7" s="839"/>
      <c r="F7" s="839"/>
      <c r="G7" s="839"/>
    </row>
    <row r="8" spans="1:7">
      <c r="A8" s="839"/>
      <c r="B8" s="839" t="s">
        <v>2935</v>
      </c>
      <c r="C8" s="839"/>
      <c r="D8" s="839"/>
      <c r="E8" s="839"/>
      <c r="F8" s="839"/>
      <c r="G8" s="839"/>
    </row>
    <row r="9" spans="1:7">
      <c r="A9" s="839"/>
      <c r="B9" s="839" t="s">
        <v>2936</v>
      </c>
      <c r="C9" s="839"/>
      <c r="D9" s="839"/>
      <c r="E9" s="839"/>
      <c r="F9" s="839"/>
      <c r="G9" s="839"/>
    </row>
    <row r="10" spans="1:7">
      <c r="A10" s="839"/>
      <c r="B10" s="839" t="s">
        <v>2937</v>
      </c>
      <c r="C10" s="839"/>
      <c r="D10" s="839"/>
      <c r="E10" s="839"/>
      <c r="F10" s="839"/>
      <c r="G10" s="839"/>
    </row>
    <row r="11" spans="1:7">
      <c r="A11" s="839"/>
      <c r="B11" s="839" t="s">
        <v>2938</v>
      </c>
      <c r="C11" s="839"/>
      <c r="D11" s="839"/>
      <c r="E11" s="839"/>
      <c r="F11" s="839"/>
      <c r="G11" s="839"/>
    </row>
    <row r="12" spans="1:7">
      <c r="A12" s="839"/>
      <c r="B12" s="839"/>
      <c r="C12" s="839"/>
      <c r="D12" s="839"/>
      <c r="E12" s="839"/>
      <c r="F12" s="839"/>
      <c r="G12" s="839"/>
    </row>
    <row r="13" spans="1:7">
      <c r="A13" s="839"/>
      <c r="B13" s="839"/>
      <c r="C13" s="839"/>
      <c r="D13" s="839"/>
      <c r="E13" s="839"/>
      <c r="F13" s="839"/>
      <c r="G13" s="839"/>
    </row>
    <row r="14" spans="1:7">
      <c r="B14" s="831" t="s">
        <v>2939</v>
      </c>
      <c r="C14" s="959">
        <v>40</v>
      </c>
      <c r="D14" s="831" t="s">
        <v>1846</v>
      </c>
      <c r="F14" s="839"/>
      <c r="G14" s="839"/>
    </row>
    <row r="15" spans="1:7">
      <c r="B15" s="831" t="s">
        <v>1588</v>
      </c>
      <c r="C15" s="959">
        <v>15</v>
      </c>
      <c r="D15" s="831" t="s">
        <v>212</v>
      </c>
      <c r="F15" s="839"/>
      <c r="G15" s="839"/>
    </row>
    <row r="16" spans="1:7">
      <c r="B16" s="831" t="s">
        <v>1959</v>
      </c>
      <c r="C16" s="959">
        <v>500</v>
      </c>
      <c r="D16" s="831" t="s">
        <v>212</v>
      </c>
      <c r="F16" s="839"/>
      <c r="G16" s="839"/>
    </row>
    <row r="17" spans="1:7">
      <c r="F17" s="839"/>
      <c r="G17" s="839"/>
    </row>
    <row r="19" spans="1:7">
      <c r="B19" s="831" t="s">
        <v>2663</v>
      </c>
      <c r="C19" s="831">
        <f>C16/C15</f>
        <v>33.333333333333336</v>
      </c>
    </row>
    <row r="20" spans="1:7">
      <c r="B20" s="831" t="s">
        <v>2595</v>
      </c>
      <c r="C20" s="831">
        <f>1/(C19-1)</f>
        <v>3.0927835051546389E-2</v>
      </c>
      <c r="D20" s="831" t="str">
        <f>"entspricht 1 zu " &amp; ROUND(1/C20,2)</f>
        <v>entspricht 1 zu 32,33</v>
      </c>
    </row>
    <row r="21" spans="1:7">
      <c r="B21" s="831" t="s">
        <v>2537</v>
      </c>
      <c r="C21" s="960">
        <f>C15+C15*C20</f>
        <v>15.463917525773196</v>
      </c>
      <c r="D21" s="831" t="s">
        <v>212</v>
      </c>
    </row>
    <row r="23" spans="1:7">
      <c r="B23" s="831" t="s">
        <v>2940</v>
      </c>
      <c r="C23" s="831">
        <f>C16/TAN(RADIANS(C14))</f>
        <v>595.87679629710499</v>
      </c>
      <c r="D23" s="831" t="s">
        <v>212</v>
      </c>
      <c r="E23" s="831" t="s">
        <v>2941</v>
      </c>
    </row>
    <row r="24" spans="1:7">
      <c r="B24" s="831" t="s">
        <v>2942</v>
      </c>
      <c r="C24" s="961">
        <f>DEGREES(ATAN(C21/C23))</f>
        <v>1.4865797581142117</v>
      </c>
      <c r="D24" s="831" t="s">
        <v>1846</v>
      </c>
      <c r="E24" s="831" t="s">
        <v>2943</v>
      </c>
    </row>
    <row r="25" spans="1:7">
      <c r="E25" s="831" t="s">
        <v>2944</v>
      </c>
    </row>
    <row r="26" spans="1:7">
      <c r="A26" s="839"/>
      <c r="B26" s="839"/>
      <c r="C26" s="839"/>
      <c r="D26" s="839"/>
      <c r="E26" s="839"/>
      <c r="F26" s="839"/>
      <c r="G26" s="839"/>
    </row>
    <row r="27" spans="1:7">
      <c r="A27" s="839"/>
      <c r="B27" s="839"/>
      <c r="C27" s="839"/>
      <c r="D27" s="839"/>
      <c r="E27" s="839"/>
      <c r="F27" s="839"/>
      <c r="G27" s="839"/>
    </row>
    <row r="28" spans="1:7">
      <c r="A28" s="839"/>
      <c r="B28" s="839"/>
      <c r="C28" s="839"/>
      <c r="D28" s="839"/>
      <c r="E28" s="839"/>
      <c r="F28" s="839"/>
      <c r="G28" s="839"/>
    </row>
    <row r="29" spans="1:7">
      <c r="A29" s="839"/>
      <c r="B29" s="839"/>
      <c r="C29" s="839"/>
      <c r="D29" s="839"/>
      <c r="E29" s="839"/>
      <c r="F29" s="839"/>
      <c r="G29" s="839"/>
    </row>
    <row r="30" spans="1:7">
      <c r="A30" s="839"/>
      <c r="B30" s="839"/>
      <c r="C30" s="839"/>
      <c r="D30" s="839"/>
      <c r="E30" s="839"/>
      <c r="F30" s="839"/>
      <c r="G30" s="839"/>
    </row>
    <row r="31" spans="1:7">
      <c r="A31" s="839"/>
      <c r="B31" s="839"/>
      <c r="C31" s="839"/>
      <c r="D31" s="839"/>
      <c r="E31" s="839"/>
      <c r="F31" s="839"/>
      <c r="G31" s="839"/>
    </row>
    <row r="32" spans="1:7">
      <c r="A32" s="839"/>
      <c r="B32" s="839" t="s">
        <v>2945</v>
      </c>
      <c r="C32" s="839"/>
      <c r="D32" s="839"/>
      <c r="E32" s="839"/>
      <c r="F32" s="839"/>
      <c r="G32" s="839"/>
    </row>
    <row r="33" spans="1:7">
      <c r="A33" s="839"/>
      <c r="B33" s="839" t="s">
        <v>2946</v>
      </c>
      <c r="C33" s="839"/>
      <c r="D33" s="839"/>
      <c r="E33" s="839"/>
      <c r="F33" s="839"/>
      <c r="G33" s="839"/>
    </row>
    <row r="34" spans="1:7">
      <c r="A34" s="839"/>
      <c r="B34" s="839" t="s">
        <v>2947</v>
      </c>
      <c r="C34" s="839"/>
      <c r="D34" s="839"/>
      <c r="E34" s="839"/>
      <c r="F34" s="839"/>
      <c r="G34" s="839"/>
    </row>
    <row r="35" spans="1:7">
      <c r="A35" s="839"/>
      <c r="B35" s="839" t="s">
        <v>2948</v>
      </c>
      <c r="C35" s="839"/>
      <c r="D35" s="839"/>
      <c r="E35" s="839"/>
      <c r="F35" s="839"/>
      <c r="G35" s="839"/>
    </row>
    <row r="36" spans="1:7">
      <c r="A36" s="839"/>
      <c r="B36" s="839" t="s">
        <v>2949</v>
      </c>
      <c r="C36" s="839"/>
      <c r="D36" s="839"/>
      <c r="E36" s="839"/>
      <c r="F36" s="839"/>
      <c r="G36" s="839"/>
    </row>
    <row r="37" spans="1:7">
      <c r="A37" s="839"/>
      <c r="B37" s="839"/>
      <c r="C37" s="839"/>
      <c r="D37" s="839"/>
      <c r="E37" s="839"/>
      <c r="F37" s="839"/>
      <c r="G37" s="839"/>
    </row>
    <row r="38" spans="1:7">
      <c r="B38" s="831" t="s">
        <v>2950</v>
      </c>
      <c r="C38" s="962">
        <v>1.2325999999999999</v>
      </c>
      <c r="D38" s="831" t="s">
        <v>1846</v>
      </c>
      <c r="G38" s="839"/>
    </row>
    <row r="39" spans="1:7">
      <c r="B39" s="831" t="s">
        <v>1588</v>
      </c>
      <c r="C39" s="959">
        <v>50</v>
      </c>
      <c r="D39" s="831" t="s">
        <v>344</v>
      </c>
      <c r="G39" s="839"/>
    </row>
    <row r="40" spans="1:7">
      <c r="B40" s="831" t="s">
        <v>2951</v>
      </c>
      <c r="C40" s="959">
        <v>2000</v>
      </c>
      <c r="D40" s="831" t="s">
        <v>344</v>
      </c>
      <c r="G40" s="839"/>
    </row>
    <row r="41" spans="1:7">
      <c r="G41" s="839"/>
    </row>
    <row r="42" spans="1:7">
      <c r="B42" s="831" t="s">
        <v>2663</v>
      </c>
      <c r="C42" s="963">
        <f>C40/C39</f>
        <v>40</v>
      </c>
      <c r="E42" s="831" t="s">
        <v>2952</v>
      </c>
      <c r="G42" s="839"/>
    </row>
    <row r="43" spans="1:7">
      <c r="B43" s="831" t="s">
        <v>2595</v>
      </c>
      <c r="C43" s="831">
        <f>1/(C42-1)</f>
        <v>2.564102564102564E-2</v>
      </c>
      <c r="E43" s="831" t="s">
        <v>2953</v>
      </c>
    </row>
    <row r="44" spans="1:7">
      <c r="B44" s="830" t="str">
        <f>"entspricht 1 zu "</f>
        <v xml:space="preserve">entspricht 1 zu </v>
      </c>
      <c r="C44" s="963">
        <f xml:space="preserve"> ROUND(1/C43,2)</f>
        <v>39</v>
      </c>
      <c r="E44" s="831" t="s">
        <v>2954</v>
      </c>
      <c r="F44" s="831" t="s">
        <v>2955</v>
      </c>
    </row>
    <row r="45" spans="1:7">
      <c r="B45" s="831" t="s">
        <v>2537</v>
      </c>
      <c r="C45" s="960">
        <f>C39+C39*C43</f>
        <v>51.282051282051285</v>
      </c>
      <c r="D45" s="831" t="s">
        <v>344</v>
      </c>
      <c r="E45" s="831" t="s">
        <v>2956</v>
      </c>
    </row>
    <row r="46" spans="1:7">
      <c r="B46" s="831" t="s">
        <v>2957</v>
      </c>
      <c r="C46" s="831">
        <f>C45/TAN(RADIANS(C38))</f>
        <v>2383.4105224807372</v>
      </c>
      <c r="D46" s="831" t="s">
        <v>344</v>
      </c>
      <c r="E46" s="831" t="s">
        <v>2958</v>
      </c>
    </row>
    <row r="47" spans="1:7">
      <c r="B47" s="831" t="s">
        <v>2939</v>
      </c>
      <c r="C47" s="960">
        <f>DEGREES(ATAN(C40/C46))</f>
        <v>40.001144186770993</v>
      </c>
      <c r="D47" s="831" t="s">
        <v>1846</v>
      </c>
    </row>
    <row r="48" spans="1:7">
      <c r="E48" s="831" t="s">
        <v>2959</v>
      </c>
    </row>
    <row r="49" spans="1:7">
      <c r="E49" s="831" t="s">
        <v>2960</v>
      </c>
    </row>
    <row r="50" spans="1:7">
      <c r="E50" s="831" t="s">
        <v>2961</v>
      </c>
    </row>
    <row r="51" spans="1:7">
      <c r="A51" s="839"/>
      <c r="B51" s="839"/>
      <c r="C51" s="839"/>
      <c r="D51" s="839"/>
      <c r="E51" s="839"/>
      <c r="F51" s="839"/>
      <c r="G51" s="839"/>
    </row>
    <row r="52" spans="1:7">
      <c r="A52" s="839"/>
      <c r="B52" s="839"/>
      <c r="C52" s="839"/>
      <c r="D52" s="839"/>
      <c r="E52" s="839"/>
      <c r="F52" s="839"/>
      <c r="G52" s="839"/>
    </row>
    <row r="53" spans="1:7">
      <c r="A53" s="839"/>
      <c r="B53" s="839"/>
      <c r="C53" s="839"/>
      <c r="D53" s="839"/>
      <c r="E53" s="839"/>
      <c r="F53" s="839"/>
      <c r="G53" s="839"/>
    </row>
    <row r="54" spans="1:7">
      <c r="A54" s="839"/>
      <c r="B54" s="839"/>
      <c r="C54" s="839"/>
      <c r="D54" s="839"/>
      <c r="E54" s="839"/>
      <c r="F54" s="839"/>
      <c r="G54" s="839"/>
    </row>
    <row r="55" spans="1:7">
      <c r="A55" s="839"/>
      <c r="B55" s="839"/>
      <c r="C55" s="839"/>
      <c r="D55" s="839"/>
      <c r="E55" s="839"/>
      <c r="F55" s="839"/>
      <c r="G55" s="839"/>
    </row>
    <row r="56" spans="1:7">
      <c r="A56" s="839"/>
      <c r="B56" s="839"/>
      <c r="C56" s="839"/>
      <c r="D56" s="839"/>
      <c r="E56" s="839"/>
      <c r="F56" s="839"/>
      <c r="G56" s="839"/>
    </row>
    <row r="57" spans="1:7">
      <c r="A57" s="839"/>
      <c r="B57" s="839"/>
      <c r="C57" s="839"/>
      <c r="D57" s="839"/>
      <c r="E57" s="839"/>
      <c r="F57" s="839"/>
      <c r="G57" s="839"/>
    </row>
    <row r="58" spans="1:7">
      <c r="A58" s="839"/>
      <c r="B58" s="839" t="s">
        <v>2962</v>
      </c>
      <c r="C58" s="839"/>
      <c r="D58" s="839"/>
      <c r="E58" s="839"/>
      <c r="F58" s="839"/>
      <c r="G58" s="839"/>
    </row>
    <row r="59" spans="1:7">
      <c r="A59" s="839"/>
      <c r="B59" s="839" t="s">
        <v>2963</v>
      </c>
      <c r="C59" s="839"/>
      <c r="D59" s="839"/>
      <c r="E59" s="839"/>
      <c r="F59" s="839"/>
      <c r="G59" s="839"/>
    </row>
    <row r="60" spans="1:7">
      <c r="A60" s="839"/>
      <c r="B60" s="839" t="s">
        <v>2964</v>
      </c>
      <c r="C60" s="839"/>
      <c r="D60" s="839"/>
      <c r="E60" s="839"/>
      <c r="F60" s="839"/>
      <c r="G60" s="839"/>
    </row>
    <row r="61" spans="1:7">
      <c r="A61" s="839"/>
      <c r="B61" s="839" t="s">
        <v>2965</v>
      </c>
      <c r="C61" s="839"/>
      <c r="D61" s="839"/>
      <c r="E61" s="839"/>
      <c r="F61" s="839"/>
      <c r="G61" s="839"/>
    </row>
    <row r="62" spans="1:7">
      <c r="A62" s="839"/>
      <c r="B62" s="839" t="s">
        <v>2966</v>
      </c>
      <c r="C62" s="839"/>
      <c r="D62" s="839"/>
      <c r="E62" s="839"/>
      <c r="F62" s="839"/>
      <c r="G62" s="839"/>
    </row>
    <row r="63" spans="1:7">
      <c r="A63" s="839"/>
      <c r="B63" s="839" t="s">
        <v>2967</v>
      </c>
      <c r="C63" s="839"/>
      <c r="D63" s="839"/>
      <c r="E63" s="839"/>
      <c r="F63" s="839"/>
      <c r="G63" s="839"/>
    </row>
    <row r="64" spans="1:7">
      <c r="A64" s="839"/>
      <c r="B64" s="839"/>
      <c r="C64" s="839"/>
      <c r="D64" s="839"/>
      <c r="E64" s="839"/>
      <c r="F64" s="839"/>
      <c r="G64" s="839"/>
    </row>
    <row r="65" spans="2:5">
      <c r="B65" s="830" t="s">
        <v>2968</v>
      </c>
      <c r="C65" s="964">
        <v>25</v>
      </c>
      <c r="D65" s="831" t="s">
        <v>212</v>
      </c>
    </row>
    <row r="66" spans="2:5">
      <c r="B66" s="830" t="s">
        <v>2969</v>
      </c>
      <c r="C66" s="964">
        <v>32</v>
      </c>
      <c r="D66" s="831" t="s">
        <v>212</v>
      </c>
    </row>
    <row r="67" spans="2:5">
      <c r="B67" s="830" t="s">
        <v>2970</v>
      </c>
      <c r="C67" s="964">
        <v>5</v>
      </c>
      <c r="D67" s="831" t="s">
        <v>212</v>
      </c>
    </row>
    <row r="68" spans="2:5">
      <c r="B68" s="830" t="s">
        <v>2971</v>
      </c>
      <c r="C68" s="964">
        <v>21</v>
      </c>
      <c r="D68" s="831" t="s">
        <v>212</v>
      </c>
    </row>
    <row r="69" spans="2:5">
      <c r="B69" s="830"/>
    </row>
    <row r="70" spans="2:5">
      <c r="B70" s="830" t="s">
        <v>2972</v>
      </c>
      <c r="C70" s="831">
        <f>C65-C66</f>
        <v>-7</v>
      </c>
      <c r="D70" s="831" t="s">
        <v>212</v>
      </c>
    </row>
    <row r="71" spans="2:5">
      <c r="B71" s="830" t="s">
        <v>2973</v>
      </c>
      <c r="C71" s="831">
        <f>C70/2</f>
        <v>-3.5</v>
      </c>
      <c r="D71" s="831" t="s">
        <v>212</v>
      </c>
    </row>
    <row r="73" spans="2:5">
      <c r="B73" s="965" t="s">
        <v>2974</v>
      </c>
    </row>
    <row r="74" spans="2:5">
      <c r="B74" s="830" t="s">
        <v>2975</v>
      </c>
      <c r="C74" s="960">
        <f>C71/C67</f>
        <v>-0.7</v>
      </c>
    </row>
    <row r="75" spans="2:5">
      <c r="B75" s="830" t="s">
        <v>1938</v>
      </c>
      <c r="C75" s="831">
        <f>ATAN(C74)</f>
        <v>-0.61072596438920856</v>
      </c>
    </row>
    <row r="76" spans="2:5">
      <c r="B76" s="830" t="s">
        <v>2976</v>
      </c>
      <c r="C76" s="831">
        <f>DEGREES(C75)</f>
        <v>-34.992020198558663</v>
      </c>
      <c r="D76" s="831" t="s">
        <v>1846</v>
      </c>
    </row>
    <row r="77" spans="2:5">
      <c r="B77" s="830" t="s">
        <v>2977</v>
      </c>
      <c r="C77" s="831">
        <f>C66+C71</f>
        <v>28.5</v>
      </c>
      <c r="D77" s="831" t="s">
        <v>212</v>
      </c>
    </row>
    <row r="79" spans="2:5">
      <c r="B79" s="830" t="s">
        <v>2978</v>
      </c>
      <c r="C79" s="831">
        <f>C77/C74</f>
        <v>-40.714285714285715</v>
      </c>
      <c r="D79" s="831" t="s">
        <v>212</v>
      </c>
      <c r="E79" s="831" t="s">
        <v>2979</v>
      </c>
    </row>
    <row r="81" spans="1:7">
      <c r="B81" s="830" t="s">
        <v>2980</v>
      </c>
    </row>
    <row r="82" spans="1:7">
      <c r="B82" s="830" t="s">
        <v>2981</v>
      </c>
      <c r="C82" s="831">
        <f>C77/C68</f>
        <v>1.3571428571428572</v>
      </c>
      <c r="D82" s="831" t="str">
        <f>"Brennweiten, entspricht 1 f + " &amp; ROUND(C82-1,5) &amp; " f"</f>
        <v>Brennweiten, entspricht 1 f + 0,35714 f</v>
      </c>
    </row>
    <row r="83" spans="1:7">
      <c r="B83" s="830" t="s">
        <v>2663</v>
      </c>
      <c r="C83" s="960">
        <f>1 + 1/(C82-1)</f>
        <v>3.7999999999999994</v>
      </c>
      <c r="D83" s="831" t="s">
        <v>2982</v>
      </c>
    </row>
    <row r="84" spans="1:7">
      <c r="B84" s="830" t="s">
        <v>2983</v>
      </c>
      <c r="C84" s="831">
        <f>C83*C68</f>
        <v>79.799999999999983</v>
      </c>
      <c r="D84" s="831" t="s">
        <v>212</v>
      </c>
    </row>
    <row r="85" spans="1:7">
      <c r="B85" s="830"/>
    </row>
    <row r="86" spans="1:7">
      <c r="B86" s="830" t="s">
        <v>2984</v>
      </c>
    </row>
    <row r="87" spans="1:7">
      <c r="B87" s="830" t="s">
        <v>2985</v>
      </c>
      <c r="C87" s="831">
        <f>C84/C79</f>
        <v>-1.9599999999999995</v>
      </c>
    </row>
    <row r="88" spans="1:7">
      <c r="B88" s="830" t="s">
        <v>1938</v>
      </c>
      <c r="C88" s="831">
        <f>ATAN(C87)</f>
        <v>-1.0990188156141465</v>
      </c>
    </row>
    <row r="89" spans="1:7">
      <c r="B89" s="830" t="s">
        <v>2986</v>
      </c>
      <c r="C89" s="831">
        <f>DEGREES(C88)</f>
        <v>-62.969139740157011</v>
      </c>
      <c r="D89" s="831" t="s">
        <v>1846</v>
      </c>
    </row>
    <row r="90" spans="1:7">
      <c r="A90" s="839"/>
      <c r="B90" s="966"/>
      <c r="C90" s="839"/>
      <c r="D90" s="839"/>
      <c r="E90" s="839"/>
      <c r="F90" s="839"/>
      <c r="G90" s="839"/>
    </row>
    <row r="91" spans="1:7">
      <c r="A91" s="839"/>
      <c r="B91" s="839"/>
      <c r="C91" s="839"/>
      <c r="D91" s="839"/>
      <c r="E91" s="839"/>
      <c r="F91" s="839"/>
      <c r="G91" s="839"/>
    </row>
    <row r="92" spans="1:7">
      <c r="A92" s="839"/>
      <c r="B92" s="839"/>
      <c r="C92" s="839"/>
      <c r="D92" s="839"/>
      <c r="E92" s="839"/>
      <c r="F92" s="839"/>
      <c r="G92" s="839"/>
    </row>
    <row r="93" spans="1:7">
      <c r="A93" s="839"/>
      <c r="B93" s="839"/>
      <c r="C93" s="839"/>
      <c r="D93" s="839"/>
      <c r="E93" s="839"/>
      <c r="F93" s="839"/>
      <c r="G93" s="839"/>
    </row>
    <row r="94" spans="1:7">
      <c r="A94" s="839"/>
      <c r="B94" s="839"/>
      <c r="C94" s="839"/>
      <c r="D94" s="839"/>
      <c r="E94" s="839"/>
      <c r="F94" s="839"/>
      <c r="G94" s="839"/>
    </row>
    <row r="95" spans="1:7">
      <c r="A95" s="839"/>
      <c r="B95" s="839"/>
      <c r="C95" s="839"/>
      <c r="D95" s="839"/>
      <c r="E95" s="839"/>
      <c r="F95" s="839"/>
      <c r="G95" s="839"/>
    </row>
    <row r="96" spans="1:7">
      <c r="A96" s="839"/>
      <c r="B96" s="839"/>
      <c r="C96" s="839"/>
      <c r="D96" s="839"/>
      <c r="E96" s="839"/>
      <c r="F96" s="839"/>
      <c r="G96" s="839"/>
    </row>
    <row r="97" spans="1:7">
      <c r="A97" s="839"/>
      <c r="B97" s="839"/>
      <c r="C97" s="839"/>
      <c r="D97" s="839"/>
      <c r="E97" s="839"/>
      <c r="F97" s="839"/>
      <c r="G97" s="839"/>
    </row>
    <row r="98" spans="1:7">
      <c r="A98" s="839"/>
      <c r="B98" s="839"/>
      <c r="C98" s="839"/>
      <c r="D98" s="839"/>
      <c r="E98" s="839"/>
      <c r="F98" s="839"/>
      <c r="G98" s="839"/>
    </row>
    <row r="99" spans="1:7">
      <c r="A99" s="839"/>
      <c r="B99" s="839"/>
      <c r="C99" s="839"/>
      <c r="D99" s="839"/>
      <c r="E99" s="839"/>
      <c r="F99" s="839"/>
      <c r="G99" s="839"/>
    </row>
    <row r="100" spans="1:7">
      <c r="A100" s="839"/>
      <c r="B100" s="839"/>
      <c r="C100" s="839"/>
      <c r="D100" s="839"/>
      <c r="E100" s="839"/>
      <c r="F100" s="839"/>
      <c r="G100" s="839"/>
    </row>
    <row r="101" spans="1:7">
      <c r="A101" s="839"/>
      <c r="B101" s="839"/>
      <c r="C101" s="839"/>
      <c r="D101" s="839"/>
      <c r="E101" s="839"/>
      <c r="F101" s="839"/>
      <c r="G101" s="839"/>
    </row>
    <row r="102" spans="1:7">
      <c r="A102" s="839"/>
      <c r="B102" s="839" t="s">
        <v>2987</v>
      </c>
      <c r="C102" s="839"/>
      <c r="D102" s="839"/>
      <c r="E102" s="839"/>
      <c r="F102" s="839"/>
      <c r="G102" s="839"/>
    </row>
    <row r="103" spans="1:7">
      <c r="A103" s="839"/>
      <c r="B103" s="839" t="s">
        <v>2988</v>
      </c>
      <c r="C103" s="839"/>
      <c r="D103" s="839"/>
      <c r="E103" s="839"/>
      <c r="F103" s="839"/>
      <c r="G103" s="839"/>
    </row>
    <row r="104" spans="1:7">
      <c r="A104" s="839"/>
      <c r="B104" s="839" t="s">
        <v>2989</v>
      </c>
      <c r="C104" s="839"/>
      <c r="D104" s="839"/>
      <c r="E104" s="839"/>
      <c r="F104" s="839"/>
      <c r="G104" s="839"/>
    </row>
    <row r="105" spans="1:7">
      <c r="A105" s="839"/>
      <c r="B105" s="839" t="s">
        <v>2990</v>
      </c>
      <c r="C105" s="839"/>
      <c r="D105" s="839"/>
      <c r="E105" s="839"/>
      <c r="F105" s="839"/>
      <c r="G105" s="839"/>
    </row>
    <row r="106" spans="1:7">
      <c r="A106" s="839"/>
      <c r="B106" s="839" t="s">
        <v>2991</v>
      </c>
      <c r="C106" s="839"/>
      <c r="D106" s="839"/>
      <c r="E106" s="839"/>
      <c r="F106" s="839"/>
      <c r="G106" s="839"/>
    </row>
    <row r="107" spans="1:7">
      <c r="A107" s="839"/>
      <c r="B107" s="839"/>
      <c r="C107" s="839"/>
      <c r="D107" s="839"/>
      <c r="E107" s="839"/>
      <c r="F107" s="839"/>
      <c r="G107" s="839"/>
    </row>
    <row r="108" spans="1:7">
      <c r="B108" s="830" t="s">
        <v>2992</v>
      </c>
      <c r="C108" s="967">
        <v>500</v>
      </c>
      <c r="D108" s="831" t="s">
        <v>212</v>
      </c>
    </row>
    <row r="109" spans="1:7">
      <c r="B109" s="830" t="s">
        <v>2993</v>
      </c>
      <c r="C109" s="967">
        <v>300</v>
      </c>
      <c r="D109" s="831" t="s">
        <v>212</v>
      </c>
    </row>
    <row r="110" spans="1:7">
      <c r="B110" s="830" t="s">
        <v>2994</v>
      </c>
      <c r="C110" s="967">
        <v>200</v>
      </c>
      <c r="D110" s="831" t="s">
        <v>212</v>
      </c>
    </row>
    <row r="111" spans="1:7">
      <c r="B111" s="830" t="s">
        <v>2995</v>
      </c>
      <c r="C111" s="967">
        <v>100</v>
      </c>
      <c r="D111" s="831" t="s">
        <v>212</v>
      </c>
    </row>
    <row r="112" spans="1:7">
      <c r="B112" s="830" t="s">
        <v>1773</v>
      </c>
      <c r="C112" s="967">
        <v>15</v>
      </c>
      <c r="D112" s="831" t="s">
        <v>212</v>
      </c>
    </row>
    <row r="113" spans="2:7">
      <c r="B113" s="830"/>
    </row>
    <row r="114" spans="2:7">
      <c r="B114" s="830" t="s">
        <v>2996</v>
      </c>
      <c r="C114" s="831">
        <f>(C108-C109)/(C110+C111)</f>
        <v>0.66666666666666663</v>
      </c>
    </row>
    <row r="115" spans="2:7">
      <c r="B115" s="830" t="s">
        <v>1938</v>
      </c>
      <c r="C115" s="831">
        <f>ATAN(C114)</f>
        <v>0.5880026035475675</v>
      </c>
    </row>
    <row r="116" spans="2:7">
      <c r="B116" s="830" t="s">
        <v>1870</v>
      </c>
      <c r="C116" s="968">
        <f>DEGREES(C115)</f>
        <v>33.690067525979785</v>
      </c>
      <c r="D116" s="831" t="s">
        <v>1846</v>
      </c>
    </row>
    <row r="117" spans="2:7">
      <c r="B117" s="830"/>
    </row>
    <row r="118" spans="2:7">
      <c r="B118" s="830" t="s">
        <v>2997</v>
      </c>
      <c r="C118" s="831">
        <f>C114*C111</f>
        <v>66.666666666666657</v>
      </c>
      <c r="D118" s="831" t="s">
        <v>212</v>
      </c>
    </row>
    <row r="119" spans="2:7">
      <c r="B119" s="830"/>
    </row>
    <row r="120" spans="2:7">
      <c r="B120" s="830" t="s">
        <v>2998</v>
      </c>
      <c r="C120" s="831">
        <f>C109+C118</f>
        <v>366.66666666666663</v>
      </c>
      <c r="D120" s="831" t="s">
        <v>212</v>
      </c>
    </row>
    <row r="121" spans="2:7">
      <c r="B121" s="830" t="s">
        <v>2601</v>
      </c>
      <c r="C121" s="831">
        <f>C120/C112</f>
        <v>24.444444444444443</v>
      </c>
      <c r="D121" s="831" t="s">
        <v>2999</v>
      </c>
      <c r="F121" s="830">
        <f>C121-1</f>
        <v>23.444444444444443</v>
      </c>
      <c r="G121" s="831" t="s">
        <v>2494</v>
      </c>
    </row>
    <row r="122" spans="2:7">
      <c r="F122" s="830"/>
    </row>
    <row r="123" spans="2:7">
      <c r="B123" s="830" t="s">
        <v>3000</v>
      </c>
      <c r="C123" s="831">
        <f>1+1/(C121-1)</f>
        <v>1.0426540284360191</v>
      </c>
      <c r="D123" s="831" t="s">
        <v>2999</v>
      </c>
      <c r="F123" s="830" t="s">
        <v>3001</v>
      </c>
      <c r="G123" s="831" t="s">
        <v>2494</v>
      </c>
    </row>
    <row r="125" spans="2:7">
      <c r="B125" s="830" t="s">
        <v>2537</v>
      </c>
      <c r="C125" s="831">
        <f>C112*C123</f>
        <v>15.639810426540286</v>
      </c>
      <c r="D125" s="831" t="s">
        <v>212</v>
      </c>
    </row>
    <row r="127" spans="2:7">
      <c r="B127" s="830" t="s">
        <v>3002</v>
      </c>
      <c r="C127" s="831">
        <f>C120/C114</f>
        <v>550</v>
      </c>
      <c r="D127" s="831" t="s">
        <v>212</v>
      </c>
    </row>
    <row r="128" spans="2:7">
      <c r="B128" s="830"/>
    </row>
    <row r="129" spans="1:12">
      <c r="B129" s="830" t="s">
        <v>3003</v>
      </c>
      <c r="C129" s="831">
        <f>C125/C127</f>
        <v>2.8436018957345974E-2</v>
      </c>
    </row>
    <row r="130" spans="1:12">
      <c r="B130" s="830" t="s">
        <v>1938</v>
      </c>
      <c r="C130" s="831">
        <f>ATAN(C129)</f>
        <v>2.8428358150774879E-2</v>
      </c>
    </row>
    <row r="131" spans="1:12">
      <c r="B131" s="830" t="s">
        <v>3004</v>
      </c>
      <c r="C131" s="831">
        <f>DEGREES(C130)</f>
        <v>1.6288249405257342</v>
      </c>
      <c r="D131" s="831" t="s">
        <v>1846</v>
      </c>
    </row>
    <row r="132" spans="1:12">
      <c r="A132" s="839"/>
      <c r="B132" s="839"/>
      <c r="C132" s="839"/>
      <c r="D132" s="839"/>
      <c r="E132" s="839"/>
      <c r="F132" s="839"/>
      <c r="G132" s="839"/>
    </row>
    <row r="133" spans="1:12">
      <c r="A133" s="839"/>
      <c r="B133" s="839"/>
      <c r="C133" s="839"/>
      <c r="D133" s="839"/>
      <c r="E133" s="839"/>
      <c r="F133" s="839"/>
      <c r="G133" s="839"/>
    </row>
    <row r="134" spans="1:12">
      <c r="A134" s="839"/>
      <c r="B134" s="839"/>
      <c r="C134" s="839"/>
      <c r="D134" s="839"/>
      <c r="E134" s="839"/>
      <c r="F134" s="839"/>
      <c r="G134" s="839"/>
    </row>
    <row r="135" spans="1:12">
      <c r="A135" s="839"/>
      <c r="B135" s="839"/>
      <c r="C135" s="839"/>
      <c r="D135" s="839"/>
      <c r="E135" s="839"/>
      <c r="F135" s="839"/>
      <c r="G135" s="839"/>
    </row>
    <row r="136" spans="1:12">
      <c r="A136" s="839"/>
      <c r="B136" s="839"/>
      <c r="C136" s="839"/>
      <c r="D136" s="839"/>
      <c r="E136" s="839"/>
      <c r="F136" s="839"/>
      <c r="G136" s="839"/>
    </row>
    <row r="137" spans="1:12">
      <c r="A137" s="839"/>
      <c r="B137" s="839"/>
      <c r="C137" s="839"/>
      <c r="D137" s="839"/>
      <c r="E137" s="839"/>
      <c r="F137" s="839"/>
      <c r="G137" s="839"/>
    </row>
    <row r="138" spans="1:12">
      <c r="A138" s="839"/>
      <c r="B138" s="839"/>
      <c r="C138" s="839"/>
      <c r="D138" s="839"/>
      <c r="E138" s="839"/>
      <c r="F138" s="839"/>
      <c r="G138" s="839"/>
    </row>
    <row r="139" spans="1:12">
      <c r="A139" s="839"/>
      <c r="B139" s="839"/>
      <c r="C139" s="839"/>
      <c r="D139" s="839"/>
      <c r="E139" s="839"/>
      <c r="F139" s="839"/>
      <c r="G139" s="839"/>
    </row>
    <row r="140" spans="1:12">
      <c r="A140" s="839"/>
      <c r="B140" s="839"/>
      <c r="C140" s="839"/>
      <c r="D140" s="839"/>
      <c r="E140" s="839"/>
      <c r="F140" s="839"/>
      <c r="G140" s="839"/>
    </row>
    <row r="141" spans="1:12">
      <c r="A141" s="839"/>
      <c r="B141" s="165"/>
      <c r="C141" s="346"/>
      <c r="D141" s="24"/>
      <c r="E141" s="24"/>
      <c r="F141" s="24"/>
      <c r="G141" s="24"/>
      <c r="H141" s="24"/>
      <c r="I141" s="1"/>
      <c r="J141" s="1"/>
      <c r="K141" s="1"/>
      <c r="L141" s="1"/>
    </row>
    <row r="142" spans="1:12">
      <c r="A142" s="165" t="s">
        <v>0</v>
      </c>
      <c r="B142" s="1" t="s">
        <v>3005</v>
      </c>
      <c r="C142" s="24"/>
      <c r="D142" s="839"/>
      <c r="E142" s="839"/>
      <c r="F142" s="24"/>
      <c r="G142" s="24"/>
      <c r="H142" s="24"/>
      <c r="I142" s="1"/>
      <c r="J142" s="1"/>
      <c r="K142" s="1"/>
      <c r="L142" s="1"/>
    </row>
    <row r="143" spans="1:12">
      <c r="A143" s="165"/>
      <c r="B143" s="1" t="s">
        <v>3006</v>
      </c>
      <c r="C143" s="24"/>
      <c r="D143" s="839"/>
      <c r="E143" s="839"/>
      <c r="F143" s="24"/>
      <c r="G143" s="24"/>
      <c r="H143" s="24"/>
      <c r="I143" s="1"/>
      <c r="J143" s="1"/>
      <c r="K143" s="1"/>
      <c r="L143" s="1"/>
    </row>
    <row r="144" spans="1:12">
      <c r="A144" s="165"/>
      <c r="B144" s="3" t="s">
        <v>3007</v>
      </c>
      <c r="C144" s="24"/>
      <c r="D144" s="839"/>
      <c r="E144" s="839"/>
      <c r="F144" s="24"/>
      <c r="G144" s="24"/>
      <c r="H144" s="24"/>
      <c r="I144" s="1"/>
      <c r="J144" s="1"/>
      <c r="K144" s="1"/>
      <c r="L144" s="1"/>
    </row>
    <row r="145" spans="1:12">
      <c r="A145" s="165"/>
      <c r="B145" s="3" t="s">
        <v>3008</v>
      </c>
      <c r="C145" s="24"/>
      <c r="D145" s="839"/>
      <c r="E145" s="839"/>
      <c r="F145" s="24"/>
      <c r="G145" s="24"/>
      <c r="H145" s="24"/>
      <c r="I145" s="1"/>
      <c r="J145" s="1"/>
      <c r="K145" s="1"/>
      <c r="L145" s="1"/>
    </row>
    <row r="146" spans="1:12">
      <c r="A146" s="165"/>
      <c r="B146" s="1"/>
      <c r="C146" s="24"/>
      <c r="D146" s="839"/>
      <c r="E146" s="839"/>
      <c r="F146" s="24"/>
      <c r="G146" s="24"/>
      <c r="H146" s="24"/>
      <c r="I146" s="1"/>
      <c r="J146" s="1"/>
      <c r="K146" s="1"/>
      <c r="L146" s="1"/>
    </row>
    <row r="147" spans="1:12">
      <c r="A147" s="165"/>
      <c r="B147" s="26" t="s">
        <v>3009</v>
      </c>
      <c r="C147" s="24" t="s">
        <v>3010</v>
      </c>
      <c r="D147" s="839"/>
      <c r="E147" s="839"/>
      <c r="F147" s="24"/>
      <c r="G147" s="24"/>
      <c r="H147" s="24"/>
      <c r="I147" s="1"/>
      <c r="J147" s="1"/>
      <c r="K147" s="1"/>
      <c r="L147" s="1"/>
    </row>
    <row r="148" spans="1:12">
      <c r="A148" s="165"/>
      <c r="B148" s="26"/>
      <c r="C148" s="24" t="s">
        <v>3011</v>
      </c>
      <c r="D148" s="839"/>
      <c r="E148" s="839"/>
      <c r="F148" s="24"/>
      <c r="G148" s="24"/>
      <c r="H148" s="24"/>
      <c r="I148" s="1"/>
      <c r="J148" s="1"/>
      <c r="K148" s="1"/>
      <c r="L148" s="1"/>
    </row>
    <row r="149" spans="1:12">
      <c r="A149" s="165"/>
      <c r="B149" s="26" t="s">
        <v>3012</v>
      </c>
      <c r="C149" s="24" t="s">
        <v>3013</v>
      </c>
      <c r="D149" s="839"/>
      <c r="E149" s="839"/>
      <c r="F149" s="24"/>
      <c r="G149" s="24"/>
      <c r="H149" s="24"/>
      <c r="I149" s="1"/>
      <c r="J149" s="1"/>
      <c r="K149" s="1"/>
      <c r="L149" s="1"/>
    </row>
    <row r="150" spans="1:12">
      <c r="A150" s="165"/>
      <c r="B150" s="26" t="s">
        <v>3014</v>
      </c>
      <c r="C150" s="24" t="s">
        <v>3015</v>
      </c>
      <c r="D150" s="839"/>
      <c r="E150" s="839"/>
      <c r="F150" s="24"/>
      <c r="G150" s="24"/>
      <c r="H150" s="24"/>
      <c r="I150" s="1"/>
      <c r="J150" s="1"/>
      <c r="K150" s="1"/>
      <c r="L150" s="1"/>
    </row>
    <row r="151" spans="1:12">
      <c r="A151" s="165"/>
      <c r="B151" s="26" t="s">
        <v>3016</v>
      </c>
      <c r="C151" s="24" t="s">
        <v>3017</v>
      </c>
      <c r="D151" s="839"/>
      <c r="E151" s="839"/>
      <c r="F151" s="24"/>
      <c r="G151" s="24"/>
      <c r="H151" s="24"/>
      <c r="I151" s="1"/>
      <c r="J151" s="1"/>
      <c r="K151" s="1"/>
      <c r="L151" s="1"/>
    </row>
    <row r="152" spans="1:12">
      <c r="A152" s="839"/>
      <c r="B152" s="165"/>
      <c r="C152" s="26"/>
      <c r="D152" s="1"/>
      <c r="E152" s="1"/>
      <c r="F152" s="1"/>
      <c r="G152" s="1"/>
      <c r="H152" s="1"/>
      <c r="I152" s="1"/>
      <c r="J152" s="1"/>
      <c r="K152" s="1"/>
      <c r="L152" s="1"/>
    </row>
    <row r="153" spans="1:12">
      <c r="A153" s="839"/>
      <c r="B153" s="165"/>
      <c r="C153" s="26"/>
      <c r="D153" s="1"/>
      <c r="E153" s="1"/>
      <c r="F153" s="1"/>
      <c r="G153" s="1"/>
      <c r="H153" s="1"/>
      <c r="I153" s="1"/>
      <c r="J153" s="1"/>
      <c r="K153" s="1"/>
      <c r="L153" s="1"/>
    </row>
    <row r="154" spans="1:12">
      <c r="A154" s="839"/>
      <c r="B154" s="165"/>
      <c r="C154" s="165" t="s">
        <v>1318</v>
      </c>
      <c r="D154" s="75">
        <v>200</v>
      </c>
      <c r="E154" s="1"/>
      <c r="F154" s="1"/>
      <c r="G154" s="1"/>
      <c r="H154" s="1"/>
      <c r="I154" s="1"/>
      <c r="J154" s="1"/>
      <c r="K154" s="1"/>
      <c r="L154" s="1"/>
    </row>
    <row r="155" spans="1:12">
      <c r="A155" s="839"/>
      <c r="B155" s="165"/>
      <c r="C155" s="165" t="s">
        <v>3018</v>
      </c>
      <c r="D155" s="75">
        <v>5</v>
      </c>
      <c r="E155" s="1"/>
      <c r="F155" s="1"/>
      <c r="G155" s="1"/>
      <c r="H155" s="8"/>
      <c r="I155" s="8"/>
      <c r="J155" s="1"/>
      <c r="K155" s="1"/>
      <c r="L155" s="1"/>
    </row>
    <row r="156" spans="1:12">
      <c r="A156" s="839"/>
      <c r="B156" s="165"/>
      <c r="C156" s="165" t="s">
        <v>1316</v>
      </c>
      <c r="D156" s="75">
        <v>3000</v>
      </c>
      <c r="E156" s="1"/>
      <c r="F156" s="1"/>
      <c r="G156" s="1"/>
      <c r="H156" s="1"/>
      <c r="I156" s="1"/>
      <c r="J156" s="1"/>
      <c r="K156" s="1"/>
      <c r="L156" s="1"/>
    </row>
    <row r="157" spans="1:12">
      <c r="A157" s="839"/>
      <c r="B157" s="165"/>
      <c r="C157" s="165" t="s">
        <v>3019</v>
      </c>
      <c r="D157" s="75">
        <v>12</v>
      </c>
      <c r="E157" s="1"/>
      <c r="F157" s="1"/>
      <c r="G157" s="1"/>
      <c r="H157" s="1"/>
      <c r="I157" s="1"/>
      <c r="J157" s="1"/>
      <c r="K157" s="1"/>
      <c r="L157" s="1"/>
    </row>
    <row r="158" spans="1:12">
      <c r="A158" s="839"/>
      <c r="B158" s="165"/>
      <c r="C158" s="165" t="s">
        <v>3020</v>
      </c>
      <c r="D158" s="75">
        <v>10</v>
      </c>
      <c r="E158" s="1"/>
      <c r="F158" s="1"/>
      <c r="G158" s="1"/>
      <c r="H158" s="1"/>
      <c r="I158" s="1"/>
      <c r="J158" s="1"/>
      <c r="K158" s="1"/>
      <c r="L158" s="1"/>
    </row>
    <row r="159" spans="1:12">
      <c r="A159" s="839"/>
      <c r="B159" s="165"/>
      <c r="C159" s="165"/>
      <c r="D159" s="1"/>
      <c r="E159" s="1"/>
      <c r="F159" s="1"/>
      <c r="G159" s="1"/>
      <c r="H159" s="1"/>
      <c r="I159" s="1"/>
      <c r="J159" s="1"/>
      <c r="K159" s="1"/>
      <c r="L159" s="1"/>
    </row>
    <row r="160" spans="1:12">
      <c r="A160" s="839"/>
      <c r="B160" s="165"/>
      <c r="C160" s="165" t="s">
        <v>3021</v>
      </c>
      <c r="D160" s="26">
        <f>D156/D154-1</f>
        <v>14</v>
      </c>
      <c r="E160" s="1"/>
      <c r="F160" s="1"/>
      <c r="G160" s="1"/>
      <c r="H160" s="1"/>
      <c r="I160" s="1"/>
      <c r="J160" s="1"/>
      <c r="K160" s="1"/>
      <c r="L160" s="1"/>
    </row>
    <row r="161" spans="1:12">
      <c r="A161" s="839"/>
      <c r="B161" s="165"/>
      <c r="C161" s="239" t="s">
        <v>3022</v>
      </c>
      <c r="D161" s="26">
        <f>D154+D154*1/D160</f>
        <v>214.28571428571428</v>
      </c>
      <c r="E161" s="1"/>
      <c r="F161" s="1"/>
      <c r="G161" s="1"/>
      <c r="H161" s="1"/>
      <c r="I161" s="1"/>
      <c r="J161" s="1"/>
      <c r="K161" s="1"/>
      <c r="L161" s="1"/>
    </row>
    <row r="162" spans="1:12" ht="13.5" thickBot="1">
      <c r="A162" s="839"/>
      <c r="B162" s="239"/>
      <c r="C162" s="16"/>
      <c r="D162" s="26"/>
      <c r="E162" s="1"/>
      <c r="F162" s="1"/>
      <c r="G162" s="1"/>
      <c r="H162" s="1"/>
      <c r="I162" s="1"/>
      <c r="J162" s="1"/>
      <c r="K162" s="1"/>
      <c r="L162" s="1"/>
    </row>
    <row r="163" spans="1:12" ht="13.5" thickBot="1">
      <c r="A163" s="839"/>
      <c r="B163" s="239"/>
      <c r="C163" s="16"/>
      <c r="D163" s="969" t="s">
        <v>3023</v>
      </c>
      <c r="E163" s="717"/>
      <c r="F163" s="717"/>
      <c r="G163" s="717"/>
      <c r="H163" s="718"/>
      <c r="I163" s="1"/>
      <c r="J163" s="1"/>
      <c r="K163" s="1"/>
      <c r="L163" s="1"/>
    </row>
    <row r="164" spans="1:12" ht="13.5" thickBot="1">
      <c r="A164" s="839"/>
      <c r="B164" s="211" t="s">
        <v>3024</v>
      </c>
      <c r="C164" s="16"/>
      <c r="D164" s="970" t="s">
        <v>3025</v>
      </c>
      <c r="E164" s="971" t="s">
        <v>3026</v>
      </c>
      <c r="F164" s="972" t="s">
        <v>2486</v>
      </c>
      <c r="G164" s="973"/>
      <c r="H164" s="971" t="s">
        <v>3027</v>
      </c>
      <c r="I164" s="1"/>
      <c r="J164" s="1"/>
      <c r="K164" s="1"/>
      <c r="L164" s="1"/>
    </row>
    <row r="165" spans="1:12">
      <c r="A165" s="839"/>
      <c r="B165" s="239" t="s">
        <v>3028</v>
      </c>
      <c r="C165" s="16">
        <f>D155*8</f>
        <v>40</v>
      </c>
      <c r="D165" s="974">
        <f>TAN(RADIANS(D157))*C165</f>
        <v>8.5022624668008859</v>
      </c>
      <c r="E165" s="974">
        <f>D161+D165</f>
        <v>222.78797675251516</v>
      </c>
      <c r="F165" s="975" t="str">
        <f t="shared" ref="F165:F172" si="0">"1 zu  "</f>
        <v xml:space="preserve">1 zu  </v>
      </c>
      <c r="G165" s="792">
        <f>ROUND(D154/(E165-D154),2)</f>
        <v>8.7799999999999994</v>
      </c>
      <c r="H165" s="976">
        <f>H173*G173/G165</f>
        <v>15.945330296127564</v>
      </c>
      <c r="I165" s="1"/>
      <c r="J165" s="1"/>
      <c r="K165" s="1"/>
      <c r="L165" s="1"/>
    </row>
    <row r="166" spans="1:12">
      <c r="A166" s="839"/>
      <c r="B166" s="239" t="s">
        <v>3028</v>
      </c>
      <c r="C166" s="16">
        <f>D155*7</f>
        <v>35</v>
      </c>
      <c r="D166" s="974">
        <f>TAN(RADIANS(D157))*C166</f>
        <v>7.4394796584507743</v>
      </c>
      <c r="E166" s="974">
        <f>D161+D166</f>
        <v>221.72519394416506</v>
      </c>
      <c r="F166" s="975" t="str">
        <f t="shared" si="0"/>
        <v xml:space="preserve">1 zu  </v>
      </c>
      <c r="G166" s="792">
        <f>ROUND(D154/(E166-D154),2)</f>
        <v>9.2100000000000009</v>
      </c>
      <c r="H166" s="976">
        <f>H173*G173/G166</f>
        <v>15.200868621064059</v>
      </c>
      <c r="I166" s="1"/>
      <c r="J166" s="1"/>
      <c r="K166" s="1"/>
      <c r="L166" s="1"/>
    </row>
    <row r="167" spans="1:12">
      <c r="A167" s="839"/>
      <c r="B167" s="239" t="s">
        <v>3028</v>
      </c>
      <c r="C167" s="16">
        <f>D155*6</f>
        <v>30</v>
      </c>
      <c r="D167" s="974">
        <f>TAN(RADIANS(D157))*C167</f>
        <v>6.3766968501006636</v>
      </c>
      <c r="E167" s="974">
        <f>D161+D167</f>
        <v>220.66241113581495</v>
      </c>
      <c r="F167" s="975" t="str">
        <f t="shared" si="0"/>
        <v xml:space="preserve">1 zu  </v>
      </c>
      <c r="G167" s="792">
        <f>ROUND(D154/(E167-D154),2)</f>
        <v>9.68</v>
      </c>
      <c r="H167" s="976">
        <f>H173*G173/G167</f>
        <v>14.462809917355372</v>
      </c>
      <c r="I167" s="1"/>
      <c r="J167" s="1"/>
      <c r="K167" s="1"/>
      <c r="L167" s="1"/>
    </row>
    <row r="168" spans="1:12">
      <c r="A168" s="839"/>
      <c r="B168" s="239" t="s">
        <v>3028</v>
      </c>
      <c r="C168" s="16">
        <f>D155*5</f>
        <v>25</v>
      </c>
      <c r="D168" s="974">
        <f>TAN(RADIANS(D157))*C168</f>
        <v>5.3139140417505528</v>
      </c>
      <c r="E168" s="974">
        <f>D161+D168</f>
        <v>219.59962832746484</v>
      </c>
      <c r="F168" s="975" t="str">
        <f t="shared" si="0"/>
        <v xml:space="preserve">1 zu  </v>
      </c>
      <c r="G168" s="792">
        <f>ROUND(D154/(E168-D154),2)</f>
        <v>10.199999999999999</v>
      </c>
      <c r="H168" s="976">
        <f>H173*G173/G168</f>
        <v>13.725490196078432</v>
      </c>
      <c r="I168" s="1"/>
      <c r="J168" s="1"/>
      <c r="K168" s="1"/>
      <c r="L168" s="1"/>
    </row>
    <row r="169" spans="1:12">
      <c r="A169" s="839"/>
      <c r="B169" s="239" t="s">
        <v>3028</v>
      </c>
      <c r="C169" s="16">
        <f>D155*4</f>
        <v>20</v>
      </c>
      <c r="D169" s="974">
        <f>TAN(RADIANS(D157))*C169</f>
        <v>4.251131233400443</v>
      </c>
      <c r="E169" s="974">
        <f>D161+D169</f>
        <v>218.53684551911471</v>
      </c>
      <c r="F169" s="975" t="str">
        <f t="shared" si="0"/>
        <v xml:space="preserve">1 zu  </v>
      </c>
      <c r="G169" s="792">
        <f>ROUND(D154/(E169-D154),2)</f>
        <v>10.79</v>
      </c>
      <c r="H169" s="976">
        <f>H173*G173/G169</f>
        <v>12.974976830398518</v>
      </c>
      <c r="I169" s="1"/>
      <c r="J169" s="1"/>
      <c r="K169" s="1"/>
      <c r="L169" s="1"/>
    </row>
    <row r="170" spans="1:12">
      <c r="A170" s="839"/>
      <c r="B170" s="239" t="s">
        <v>3028</v>
      </c>
      <c r="C170" s="16">
        <f>D155*3</f>
        <v>15</v>
      </c>
      <c r="D170" s="974">
        <f>TAN(RADIANS(D157))*C170</f>
        <v>3.1883484250503318</v>
      </c>
      <c r="E170" s="974">
        <f>D161+D170</f>
        <v>217.4740627107646</v>
      </c>
      <c r="F170" s="975" t="str">
        <f t="shared" si="0"/>
        <v xml:space="preserve">1 zu  </v>
      </c>
      <c r="G170" s="792">
        <f>ROUND(D154/(E170-D154),2)</f>
        <v>11.45</v>
      </c>
      <c r="H170" s="976">
        <f>H173*G173/G170</f>
        <v>12.22707423580786</v>
      </c>
      <c r="I170" s="1"/>
      <c r="J170" s="1"/>
      <c r="K170" s="1"/>
      <c r="L170" s="1"/>
    </row>
    <row r="171" spans="1:12">
      <c r="A171" s="839"/>
      <c r="B171" s="239" t="s">
        <v>3028</v>
      </c>
      <c r="C171" s="16">
        <f>D155*2</f>
        <v>10</v>
      </c>
      <c r="D171" s="974">
        <f>TAN(RADIANS(D157))*C171</f>
        <v>2.1255656167002215</v>
      </c>
      <c r="E171" s="974">
        <f>D161+D171</f>
        <v>216.41127990241449</v>
      </c>
      <c r="F171" s="975" t="str">
        <f t="shared" si="0"/>
        <v xml:space="preserve">1 zu  </v>
      </c>
      <c r="G171" s="792">
        <f>ROUND(D154/(E171-D154),2)</f>
        <v>12.19</v>
      </c>
      <c r="H171" s="976">
        <f>H173*G173/G171</f>
        <v>11.484823625922887</v>
      </c>
      <c r="I171" s="1"/>
      <c r="J171" s="1"/>
      <c r="K171" s="1"/>
      <c r="L171" s="1"/>
    </row>
    <row r="172" spans="1:12">
      <c r="A172" s="839"/>
      <c r="B172" s="239" t="s">
        <v>3028</v>
      </c>
      <c r="C172" s="16">
        <f>D155</f>
        <v>5</v>
      </c>
      <c r="D172" s="974">
        <f>TAN(RADIANS(D157))*C172</f>
        <v>1.0627828083501107</v>
      </c>
      <c r="E172" s="974">
        <f>D161+D172</f>
        <v>215.34849709406438</v>
      </c>
      <c r="F172" s="975" t="str">
        <f t="shared" si="0"/>
        <v xml:space="preserve">1 zu  </v>
      </c>
      <c r="G172" s="792">
        <f>ROUND(D154/(E172-D154),2)</f>
        <v>13.03</v>
      </c>
      <c r="H172" s="976">
        <f>H173*G173/G172</f>
        <v>10.744435917114352</v>
      </c>
      <c r="I172" s="1"/>
      <c r="J172" s="1"/>
      <c r="K172" s="1"/>
      <c r="L172" s="1"/>
    </row>
    <row r="173" spans="1:12">
      <c r="A173" s="839"/>
      <c r="B173" s="984" t="s">
        <v>3029</v>
      </c>
      <c r="C173" s="42">
        <v>0</v>
      </c>
      <c r="D173" s="977">
        <v>0</v>
      </c>
      <c r="E173" s="978">
        <f>D161</f>
        <v>214.28571428571428</v>
      </c>
      <c r="F173" s="975" t="str">
        <f>"1 zu  "</f>
        <v xml:space="preserve">1 zu  </v>
      </c>
      <c r="G173" s="792">
        <f>ROUND(D154/(E173-D154),2)</f>
        <v>14</v>
      </c>
      <c r="H173" s="979">
        <f>D158</f>
        <v>10</v>
      </c>
      <c r="I173" s="1" t="s">
        <v>3030</v>
      </c>
      <c r="J173" s="1"/>
      <c r="K173" s="1"/>
      <c r="L173" s="1"/>
    </row>
    <row r="174" spans="1:12">
      <c r="A174" s="839"/>
      <c r="B174" s="239" t="s">
        <v>3031</v>
      </c>
      <c r="C174" s="16">
        <f>-D155</f>
        <v>-5</v>
      </c>
      <c r="D174" s="974">
        <f>TAN(RADIANS(D157))*C174</f>
        <v>-1.0627828083501107</v>
      </c>
      <c r="E174" s="974">
        <f>D161+D174</f>
        <v>213.22293147736417</v>
      </c>
      <c r="F174" s="975" t="str">
        <f t="shared" ref="F174:F181" si="1">"1 zu  "</f>
        <v xml:space="preserve">1 zu  </v>
      </c>
      <c r="G174" s="792">
        <f>ROUND(D154/(E174-D154),2)</f>
        <v>15.13</v>
      </c>
      <c r="H174" s="976">
        <f>H173*G173/G174</f>
        <v>9.2531394580304021</v>
      </c>
      <c r="I174" s="1"/>
      <c r="J174" s="1"/>
      <c r="K174" s="1"/>
      <c r="L174" s="1"/>
    </row>
    <row r="175" spans="1:12">
      <c r="A175" s="839"/>
      <c r="B175" s="239" t="s">
        <v>3031</v>
      </c>
      <c r="C175" s="16">
        <f>-D155*2</f>
        <v>-10</v>
      </c>
      <c r="D175" s="974">
        <f>TAN(RADIANS(D157))*C175</f>
        <v>-2.1255656167002215</v>
      </c>
      <c r="E175" s="974">
        <f>D161+D175</f>
        <v>212.16014866901406</v>
      </c>
      <c r="F175" s="975" t="str">
        <f t="shared" si="1"/>
        <v xml:space="preserve">1 zu  </v>
      </c>
      <c r="G175" s="792">
        <f>ROUND(D154/(E175-D154),2)</f>
        <v>16.45</v>
      </c>
      <c r="H175" s="976">
        <f>H173*G173/G175</f>
        <v>8.5106382978723403</v>
      </c>
      <c r="I175" s="1"/>
      <c r="J175" s="1"/>
      <c r="K175" s="1"/>
      <c r="L175" s="1"/>
    </row>
    <row r="176" spans="1:12">
      <c r="A176" s="839"/>
      <c r="B176" s="239" t="s">
        <v>3031</v>
      </c>
      <c r="C176" s="16">
        <f>-D155*3</f>
        <v>-15</v>
      </c>
      <c r="D176" s="974">
        <f>TAN(RADIANS(D157))*C176</f>
        <v>-3.1883484250503318</v>
      </c>
      <c r="E176" s="974">
        <f>D161+D176</f>
        <v>211.09736586066396</v>
      </c>
      <c r="F176" s="975" t="str">
        <f t="shared" si="1"/>
        <v xml:space="preserve">1 zu  </v>
      </c>
      <c r="G176" s="792">
        <f>ROUND(D154/(E176-D154),2)</f>
        <v>18.02</v>
      </c>
      <c r="H176" s="976">
        <f>H173*G173/G176</f>
        <v>7.7691453940066593</v>
      </c>
      <c r="I176" s="1"/>
      <c r="J176" s="1"/>
      <c r="K176" s="1"/>
      <c r="L176" s="1"/>
    </row>
    <row r="177" spans="1:12">
      <c r="A177" s="839"/>
      <c r="B177" s="239" t="s">
        <v>3031</v>
      </c>
      <c r="C177" s="16">
        <f>-D155*4</f>
        <v>-20</v>
      </c>
      <c r="D177" s="974">
        <f>TAN(RADIANS(D157))*C177</f>
        <v>-4.251131233400443</v>
      </c>
      <c r="E177" s="974">
        <f>D161+D177</f>
        <v>210.03458305231385</v>
      </c>
      <c r="F177" s="975" t="str">
        <f t="shared" si="1"/>
        <v xml:space="preserve">1 zu  </v>
      </c>
      <c r="G177" s="792">
        <f>ROUND(D154/(E177-D154),2)</f>
        <v>19.93</v>
      </c>
      <c r="H177" s="976">
        <f>H173*G173/G177</f>
        <v>7.0245860511791269</v>
      </c>
      <c r="I177" s="1"/>
      <c r="J177" s="1"/>
      <c r="K177" s="1"/>
      <c r="L177" s="1"/>
    </row>
    <row r="178" spans="1:12">
      <c r="A178" s="839"/>
      <c r="B178" s="239" t="s">
        <v>3031</v>
      </c>
      <c r="C178" s="16">
        <f>-D155*5</f>
        <v>-25</v>
      </c>
      <c r="D178" s="974">
        <f>TAN(RADIANS(D157))*C178</f>
        <v>-5.3139140417505528</v>
      </c>
      <c r="E178" s="974">
        <f>D161+D178</f>
        <v>208.97180024396371</v>
      </c>
      <c r="F178" s="975" t="str">
        <f t="shared" si="1"/>
        <v xml:space="preserve">1 zu  </v>
      </c>
      <c r="G178" s="792">
        <f>ROUND(D154/(E178-D154),2)</f>
        <v>22.29</v>
      </c>
      <c r="H178" s="976">
        <f>H173*G173/G178</f>
        <v>6.2808434275459852</v>
      </c>
      <c r="I178" s="1"/>
      <c r="J178" s="1"/>
      <c r="K178" s="1"/>
      <c r="L178" s="1"/>
    </row>
    <row r="179" spans="1:12">
      <c r="A179" s="839"/>
      <c r="B179" s="239" t="s">
        <v>3031</v>
      </c>
      <c r="C179" s="16">
        <f>-D155*6</f>
        <v>-30</v>
      </c>
      <c r="D179" s="974">
        <f>TAN(RADIANS(D157))*C179</f>
        <v>-6.3766968501006636</v>
      </c>
      <c r="E179" s="974">
        <f>D161+D179</f>
        <v>207.90901743561361</v>
      </c>
      <c r="F179" s="975" t="str">
        <f t="shared" si="1"/>
        <v xml:space="preserve">1 zu  </v>
      </c>
      <c r="G179" s="792">
        <f>ROUND(D154/(E179-D154),2)</f>
        <v>25.29</v>
      </c>
      <c r="H179" s="976">
        <f>H173*G173/G179</f>
        <v>5.5357848952155004</v>
      </c>
      <c r="I179" s="1"/>
      <c r="J179" s="1"/>
      <c r="K179" s="1"/>
      <c r="L179" s="1"/>
    </row>
    <row r="180" spans="1:12">
      <c r="A180" s="839"/>
      <c r="B180" s="239" t="s">
        <v>3031</v>
      </c>
      <c r="C180" s="16">
        <f>-D155*7</f>
        <v>-35</v>
      </c>
      <c r="D180" s="974">
        <f>TAN(RADIANS(D157))*C180</f>
        <v>-7.4394796584507743</v>
      </c>
      <c r="E180" s="974">
        <f>D161+D180</f>
        <v>206.8462346272635</v>
      </c>
      <c r="F180" s="975" t="str">
        <f t="shared" si="1"/>
        <v xml:space="preserve">1 zu  </v>
      </c>
      <c r="G180" s="792">
        <f>ROUND(D154/(E180-D154),2)</f>
        <v>29.21</v>
      </c>
      <c r="H180" s="976">
        <f>H173*G173/G180</f>
        <v>4.7928791509756934</v>
      </c>
      <c r="I180" s="1"/>
      <c r="J180" s="1"/>
      <c r="K180" s="1"/>
      <c r="L180" s="1"/>
    </row>
    <row r="181" spans="1:12" ht="13.5" thickBot="1">
      <c r="A181" s="839"/>
      <c r="B181" s="239" t="s">
        <v>3031</v>
      </c>
      <c r="C181" s="16">
        <f>-D155*8</f>
        <v>-40</v>
      </c>
      <c r="D181" s="980">
        <f>TAN(RADIANS(D157))*C181</f>
        <v>-8.5022624668008859</v>
      </c>
      <c r="E181" s="980">
        <f>D161+D181</f>
        <v>205.78345181891339</v>
      </c>
      <c r="F181" s="981" t="str">
        <f t="shared" si="1"/>
        <v xml:space="preserve">1 zu  </v>
      </c>
      <c r="G181" s="982">
        <f>ROUND(D154/(E181-D154),2)</f>
        <v>34.58</v>
      </c>
      <c r="H181" s="983">
        <f>H173*G173/G181</f>
        <v>4.048582995951417</v>
      </c>
      <c r="I181" s="1"/>
      <c r="J181" s="1"/>
      <c r="K181" s="1"/>
      <c r="L181" s="1"/>
    </row>
    <row r="182" spans="1:12">
      <c r="A182" s="839"/>
      <c r="B182" s="165"/>
      <c r="C182" s="26"/>
      <c r="D182" s="1"/>
      <c r="E182" s="1"/>
      <c r="F182" s="1"/>
      <c r="G182" s="1"/>
      <c r="H182" s="1"/>
      <c r="I182" s="1"/>
      <c r="J182" s="1"/>
      <c r="K182" s="1"/>
      <c r="L182" s="1"/>
    </row>
    <row r="183" spans="1:12">
      <c r="A183" s="839"/>
      <c r="B183" s="165"/>
      <c r="C183" s="26"/>
      <c r="D183" s="1"/>
      <c r="E183" s="1"/>
      <c r="F183" s="1"/>
      <c r="G183" s="1"/>
      <c r="H183" s="1"/>
      <c r="I183" s="1"/>
      <c r="J183" s="1"/>
      <c r="K183" s="1"/>
      <c r="L183" s="1"/>
    </row>
    <row r="184" spans="1:12">
      <c r="A184" s="839"/>
      <c r="B184" s="165"/>
      <c r="C184" s="26"/>
      <c r="D184" s="1"/>
      <c r="E184" s="1"/>
      <c r="F184" s="1"/>
      <c r="G184" s="1"/>
      <c r="H184" s="1"/>
      <c r="I184" s="1"/>
      <c r="J184" s="1"/>
      <c r="K184" s="1"/>
      <c r="L184" s="1"/>
    </row>
    <row r="185" spans="1:12">
      <c r="A185" s="839"/>
      <c r="B185" s="165"/>
      <c r="C185" s="26"/>
      <c r="D185" s="1"/>
      <c r="E185" s="1"/>
      <c r="F185" s="1"/>
      <c r="G185" s="1"/>
      <c r="H185" s="1"/>
      <c r="I185" s="1"/>
      <c r="J185" s="1"/>
      <c r="K185" s="1"/>
      <c r="L185" s="1"/>
    </row>
    <row r="186" spans="1:12">
      <c r="A186" s="839"/>
      <c r="B186" s="165"/>
      <c r="C186" s="26"/>
      <c r="D186" s="1"/>
      <c r="E186" s="1"/>
      <c r="F186" s="1"/>
      <c r="G186" s="1"/>
      <c r="H186" s="1"/>
      <c r="I186" s="1"/>
      <c r="J186" s="1"/>
      <c r="K186" s="1"/>
      <c r="L186" s="1"/>
    </row>
    <row r="187" spans="1:12">
      <c r="A187" s="839"/>
      <c r="B187" s="165"/>
      <c r="C187" s="26"/>
      <c r="D187" s="1"/>
      <c r="E187" s="1"/>
      <c r="F187" s="1"/>
      <c r="G187" s="1"/>
      <c r="H187" s="1"/>
      <c r="I187" s="1"/>
      <c r="J187" s="1"/>
      <c r="K187" s="1"/>
      <c r="L187" s="1"/>
    </row>
    <row r="188" spans="1:12">
      <c r="A188" s="839"/>
      <c r="B188" s="165"/>
      <c r="C188" s="26"/>
      <c r="D188" s="1"/>
      <c r="E188" s="1"/>
      <c r="F188" s="1"/>
      <c r="G188" s="1"/>
      <c r="H188" s="1"/>
      <c r="I188" s="1"/>
      <c r="J188" s="1"/>
      <c r="K188" s="1"/>
      <c r="L188" s="1"/>
    </row>
    <row r="189" spans="1:12">
      <c r="A189" s="839"/>
      <c r="B189" s="165"/>
      <c r="C189" s="26"/>
      <c r="D189" s="1"/>
      <c r="E189" s="1"/>
      <c r="F189" s="1"/>
      <c r="G189" s="1"/>
      <c r="H189" s="1"/>
      <c r="I189" s="1"/>
      <c r="J189" s="1"/>
      <c r="K189" s="1"/>
      <c r="L189" s="1"/>
    </row>
    <row r="190" spans="1:12">
      <c r="A190" s="839"/>
      <c r="B190" s="165"/>
      <c r="C190" s="26"/>
      <c r="D190" s="1"/>
      <c r="E190" s="1"/>
      <c r="F190" s="1"/>
      <c r="G190" s="1"/>
      <c r="H190" s="1"/>
      <c r="I190" s="1"/>
      <c r="J190" s="1"/>
      <c r="K190" s="1"/>
      <c r="L190" s="1"/>
    </row>
    <row r="191" spans="1:12">
      <c r="A191" s="839"/>
      <c r="B191" s="165"/>
      <c r="C191" s="26"/>
      <c r="D191" s="1"/>
      <c r="E191" s="1"/>
      <c r="F191" s="1"/>
      <c r="G191" s="1"/>
      <c r="H191" s="1"/>
      <c r="I191" s="1"/>
      <c r="J191" s="1"/>
      <c r="K191" s="1"/>
      <c r="L191" s="1"/>
    </row>
    <row r="192" spans="1:12">
      <c r="A192" s="839"/>
      <c r="B192" s="165"/>
      <c r="C192" s="26"/>
      <c r="D192" s="1"/>
      <c r="E192" s="1"/>
      <c r="F192" s="1"/>
      <c r="G192" s="1"/>
      <c r="H192" s="1"/>
      <c r="I192" s="1"/>
      <c r="J192" s="1"/>
      <c r="K192" s="1"/>
      <c r="L192" s="1"/>
    </row>
    <row r="193" spans="1:12">
      <c r="A193" s="839"/>
      <c r="B193" s="165"/>
      <c r="C193" s="26"/>
      <c r="D193" s="1"/>
      <c r="E193" s="1"/>
      <c r="F193" s="1"/>
      <c r="G193" s="1"/>
      <c r="H193" s="1"/>
      <c r="I193" s="1"/>
      <c r="J193" s="1"/>
      <c r="K193" s="1"/>
      <c r="L193" s="1"/>
    </row>
    <row r="194" spans="1:12">
      <c r="A194" s="839"/>
      <c r="B194" s="165"/>
      <c r="C194" s="26"/>
      <c r="D194" s="1"/>
      <c r="E194" s="1"/>
      <c r="F194" s="1"/>
      <c r="G194" s="1"/>
      <c r="H194" s="1"/>
      <c r="I194" s="1"/>
      <c r="J194" s="1"/>
      <c r="K194" s="1"/>
      <c r="L194" s="1"/>
    </row>
    <row r="195" spans="1:12">
      <c r="A195" s="839"/>
      <c r="B195" s="165"/>
      <c r="C195" s="26"/>
      <c r="D195" s="1"/>
      <c r="E195" s="1"/>
      <c r="F195" s="1"/>
      <c r="G195" s="1"/>
      <c r="H195" s="1"/>
      <c r="I195" s="1"/>
      <c r="J195" s="1"/>
      <c r="K195" s="1"/>
      <c r="L195" s="1"/>
    </row>
    <row r="196" spans="1:12">
      <c r="A196" s="839"/>
      <c r="B196" s="165"/>
      <c r="C196" s="26"/>
      <c r="D196" s="1"/>
      <c r="E196" s="1"/>
      <c r="F196" s="1"/>
      <c r="G196" s="1"/>
      <c r="H196" s="1"/>
      <c r="I196" s="1"/>
      <c r="J196" s="1"/>
      <c r="K196" s="1"/>
      <c r="L196" s="1"/>
    </row>
    <row r="197" spans="1:12">
      <c r="A197" s="839"/>
      <c r="B197" s="165"/>
      <c r="C197" s="26"/>
      <c r="D197" s="1"/>
      <c r="E197" s="1"/>
      <c r="F197" s="1"/>
      <c r="G197" s="1"/>
      <c r="H197" s="1"/>
      <c r="I197" s="1"/>
      <c r="J197" s="1"/>
      <c r="K197" s="1"/>
      <c r="L197" s="1"/>
    </row>
    <row r="198" spans="1:12">
      <c r="A198" s="839"/>
      <c r="B198" s="165"/>
      <c r="C198" s="26"/>
      <c r="D198" s="1"/>
      <c r="E198" s="1"/>
      <c r="F198" s="1"/>
      <c r="G198" s="1"/>
      <c r="H198" s="1"/>
      <c r="I198" s="1"/>
      <c r="J198" s="1"/>
      <c r="K198" s="1"/>
      <c r="L198" s="1"/>
    </row>
    <row r="199" spans="1:12">
      <c r="A199" s="839"/>
      <c r="B199" s="165"/>
      <c r="C199" s="26"/>
      <c r="D199" s="1"/>
      <c r="E199" s="1"/>
      <c r="F199" s="1"/>
      <c r="G199" s="1"/>
      <c r="H199" s="1"/>
      <c r="I199" s="1"/>
      <c r="J199" s="1"/>
      <c r="K199" s="1"/>
      <c r="L199" s="1"/>
    </row>
    <row r="200" spans="1:12">
      <c r="A200" s="839"/>
      <c r="B200" s="165"/>
      <c r="C200" s="26"/>
      <c r="D200" s="1"/>
      <c r="E200" s="1"/>
      <c r="F200" s="1"/>
      <c r="G200" s="1"/>
      <c r="H200" s="1"/>
      <c r="I200" s="1"/>
      <c r="J200" s="1"/>
      <c r="K200" s="1"/>
      <c r="L200" s="1"/>
    </row>
    <row r="201" spans="1:12">
      <c r="A201" s="839"/>
      <c r="B201" s="165"/>
      <c r="C201" s="26"/>
      <c r="D201" s="1"/>
      <c r="E201" s="1"/>
      <c r="F201" s="1"/>
      <c r="G201" s="1"/>
      <c r="H201" s="1"/>
      <c r="I201" s="1"/>
      <c r="J201" s="1"/>
      <c r="K201" s="1"/>
      <c r="L201" s="1"/>
    </row>
    <row r="202" spans="1:12">
      <c r="A202" s="839"/>
      <c r="B202" s="165"/>
      <c r="C202" s="26"/>
      <c r="D202" s="1"/>
      <c r="E202" s="1"/>
      <c r="F202" s="1"/>
      <c r="G202" s="1"/>
      <c r="H202" s="1"/>
      <c r="I202" s="1"/>
      <c r="J202" s="1"/>
      <c r="K202" s="1"/>
      <c r="L202" s="1"/>
    </row>
    <row r="203" spans="1:12">
      <c r="A203" s="839"/>
      <c r="B203" s="165"/>
      <c r="C203" s="26"/>
      <c r="D203" s="1"/>
      <c r="E203" s="1"/>
      <c r="F203" s="1"/>
      <c r="G203" s="1"/>
      <c r="H203" s="1"/>
      <c r="I203" s="1"/>
      <c r="J203" s="1"/>
      <c r="K203" s="1"/>
      <c r="L203" s="1"/>
    </row>
    <row r="204" spans="1:12">
      <c r="A204" s="839"/>
      <c r="B204" s="165"/>
      <c r="C204" s="26"/>
      <c r="D204" s="1"/>
      <c r="E204" s="1"/>
      <c r="F204" s="1"/>
      <c r="G204" s="1"/>
      <c r="H204" s="1"/>
      <c r="I204" s="1"/>
      <c r="J204" s="1"/>
      <c r="K204" s="1"/>
      <c r="L204" s="1"/>
    </row>
    <row r="205" spans="1:12">
      <c r="A205" s="839"/>
      <c r="B205" s="165"/>
      <c r="C205" s="26"/>
      <c r="D205" s="1"/>
      <c r="E205" s="1"/>
      <c r="F205" s="1"/>
      <c r="G205" s="1"/>
      <c r="H205" s="1"/>
      <c r="I205" s="1"/>
      <c r="J205" s="1"/>
      <c r="K205" s="1"/>
      <c r="L205" s="1"/>
    </row>
    <row r="206" spans="1:12">
      <c r="A206" s="839"/>
      <c r="B206" s="165"/>
      <c r="C206" s="26"/>
      <c r="D206" s="1"/>
      <c r="E206" s="1"/>
      <c r="F206" s="1"/>
      <c r="G206" s="1"/>
      <c r="H206" s="1"/>
      <c r="I206" s="1"/>
      <c r="J206" s="1"/>
      <c r="K206" s="1"/>
      <c r="L206" s="1"/>
    </row>
    <row r="207" spans="1:12">
      <c r="A207" s="839"/>
      <c r="B207" s="165"/>
      <c r="C207" s="26"/>
      <c r="D207" s="1"/>
      <c r="E207" s="1"/>
      <c r="F207" s="1"/>
      <c r="G207" s="1"/>
      <c r="H207" s="1"/>
      <c r="I207" s="1"/>
      <c r="J207" s="1"/>
      <c r="K207" s="1"/>
      <c r="L207" s="1"/>
    </row>
    <row r="208" spans="1:12">
      <c r="A208" s="839"/>
      <c r="B208" s="165"/>
      <c r="C208" s="26"/>
      <c r="D208" s="1"/>
      <c r="E208" s="1"/>
      <c r="F208" s="1"/>
      <c r="G208" s="1"/>
      <c r="H208" s="1"/>
      <c r="I208" s="1"/>
      <c r="J208" s="1"/>
      <c r="K208" s="1"/>
      <c r="L208" s="1"/>
    </row>
    <row r="209" spans="1:12">
      <c r="A209" s="839"/>
      <c r="B209" s="165"/>
      <c r="C209" s="26"/>
      <c r="D209" s="1"/>
      <c r="E209" s="1"/>
      <c r="F209" s="1"/>
      <c r="G209" s="1"/>
      <c r="H209" s="1"/>
      <c r="I209" s="1"/>
      <c r="J209" s="1"/>
      <c r="K209" s="1"/>
      <c r="L209" s="1"/>
    </row>
    <row r="210" spans="1:12">
      <c r="A210" s="839"/>
      <c r="B210" s="165"/>
      <c r="C210" s="26"/>
      <c r="D210" s="1"/>
      <c r="E210" s="1"/>
      <c r="F210" s="1"/>
      <c r="G210" s="1"/>
      <c r="H210" s="1"/>
      <c r="I210" s="1"/>
      <c r="J210" s="1"/>
      <c r="K210" s="1"/>
      <c r="L210" s="1"/>
    </row>
  </sheetData>
  <pageMargins left="0.7" right="0.7" top="0.78740157499999996" bottom="0.78740157499999996" header="0.3" footer="0.3"/>
  <pageSetup paperSize="9"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6"/>
  <dimension ref="B22:G135"/>
  <sheetViews>
    <sheetView zoomScale="90" zoomScaleNormal="90" workbookViewId="0">
      <selection activeCell="E146" sqref="E146"/>
    </sheetView>
  </sheetViews>
  <sheetFormatPr baseColWidth="10" defaultColWidth="11.42578125" defaultRowHeight="12.75"/>
  <cols>
    <col min="1" max="1" width="11.42578125" style="1"/>
    <col min="2" max="2" width="31.85546875" style="1" customWidth="1"/>
    <col min="3" max="16" width="11.42578125" style="1"/>
    <col min="17" max="17" width="14" style="1" customWidth="1"/>
    <col min="18" max="16384" width="11.42578125" style="1"/>
  </cols>
  <sheetData>
    <row r="22" spans="2:5">
      <c r="C22" s="1" t="s">
        <v>3248</v>
      </c>
    </row>
    <row r="23" spans="2:5">
      <c r="C23" s="1" t="s">
        <v>3249</v>
      </c>
    </row>
    <row r="25" spans="2:5">
      <c r="C25" s="1" t="s">
        <v>3250</v>
      </c>
    </row>
    <row r="28" spans="2:5">
      <c r="B28" s="165" t="s">
        <v>3251</v>
      </c>
      <c r="C28" s="326">
        <v>1280</v>
      </c>
      <c r="D28" s="1" t="s">
        <v>523</v>
      </c>
    </row>
    <row r="29" spans="2:5">
      <c r="B29" s="165" t="s">
        <v>520</v>
      </c>
      <c r="C29" s="326">
        <v>70.864000000000004</v>
      </c>
      <c r="D29" s="1" t="s">
        <v>212</v>
      </c>
    </row>
    <row r="30" spans="2:5">
      <c r="B30" s="165" t="s">
        <v>3252</v>
      </c>
      <c r="C30" s="1150">
        <f>1/60</f>
        <v>1.6666666666666666E-2</v>
      </c>
      <c r="D30" s="1" t="s">
        <v>1846</v>
      </c>
      <c r="E30" s="1" t="str">
        <f>"entspricht "&amp;C30*60&amp;" Winkelminute"</f>
        <v>entspricht 1 Winkelminute</v>
      </c>
    </row>
    <row r="31" spans="2:5">
      <c r="B31" s="165"/>
    </row>
    <row r="32" spans="2:5">
      <c r="B32" s="165" t="s">
        <v>3253</v>
      </c>
      <c r="C32" s="284">
        <f>C30/2</f>
        <v>8.3333333333333332E-3</v>
      </c>
      <c r="D32" s="1" t="s">
        <v>1846</v>
      </c>
    </row>
    <row r="33" spans="2:5">
      <c r="B33" s="165" t="s">
        <v>3254</v>
      </c>
      <c r="C33" s="284">
        <f>C29/C28</f>
        <v>5.5362500000000002E-2</v>
      </c>
      <c r="D33" s="1" t="s">
        <v>212</v>
      </c>
    </row>
    <row r="34" spans="2:5">
      <c r="B34" s="165" t="s">
        <v>3255</v>
      </c>
      <c r="C34" s="284">
        <f>C33/2</f>
        <v>2.7681250000000001E-2</v>
      </c>
      <c r="D34" s="1" t="s">
        <v>212</v>
      </c>
      <c r="E34" s="1" t="s">
        <v>3256</v>
      </c>
    </row>
    <row r="35" spans="2:5">
      <c r="B35" s="165"/>
      <c r="C35" s="284"/>
      <c r="E35" s="1" t="s">
        <v>3257</v>
      </c>
    </row>
    <row r="36" spans="2:5">
      <c r="B36" s="165" t="s">
        <v>3258</v>
      </c>
      <c r="C36" s="284">
        <f>C34/TAN(RADIANS(C32))</f>
        <v>190.32225425555635</v>
      </c>
      <c r="D36" s="1" t="s">
        <v>212</v>
      </c>
      <c r="E36" s="1" t="s">
        <v>3259</v>
      </c>
    </row>
    <row r="37" spans="2:5">
      <c r="B37" s="165"/>
      <c r="C37" s="284"/>
    </row>
    <row r="38" spans="2:5">
      <c r="B38" s="287" t="str">
        <f>"Man kann die Bildschirmpixel nicht mehr erkennen, wenn man weiter als "&amp; ROUND(C36,2) &amp; " Zentimeter entfernt ist."</f>
        <v>Man kann die Bildschirmpixel nicht mehr erkennen, wenn man weiter als 190,32 Zentimeter entfernt ist.</v>
      </c>
      <c r="C38" s="284"/>
    </row>
    <row r="39" spans="2:5">
      <c r="B39" s="165"/>
    </row>
    <row r="44" spans="2:5">
      <c r="B44" s="1" t="s">
        <v>3260</v>
      </c>
    </row>
    <row r="45" spans="2:5">
      <c r="B45" s="1" t="s">
        <v>3261</v>
      </c>
    </row>
    <row r="46" spans="2:5">
      <c r="B46" s="1" t="s">
        <v>3262</v>
      </c>
    </row>
    <row r="48" spans="2:5">
      <c r="B48" s="1" t="s">
        <v>3263</v>
      </c>
    </row>
    <row r="49" spans="2:5">
      <c r="B49" s="1" t="s">
        <v>3264</v>
      </c>
    </row>
    <row r="55" spans="2:5">
      <c r="B55" s="1" t="s">
        <v>3258</v>
      </c>
      <c r="C55" s="1151">
        <v>30</v>
      </c>
      <c r="D55" s="1" t="s">
        <v>212</v>
      </c>
    </row>
    <row r="56" spans="2:5">
      <c r="B56" s="1" t="s">
        <v>3265</v>
      </c>
      <c r="C56" s="1150">
        <f>1/60</f>
        <v>1.6666666666666666E-2</v>
      </c>
      <c r="D56" s="1" t="s">
        <v>1846</v>
      </c>
      <c r="E56" s="1" t="s">
        <v>3266</v>
      </c>
    </row>
    <row r="58" spans="2:5">
      <c r="B58" s="1" t="s">
        <v>3267</v>
      </c>
      <c r="C58" s="284">
        <f>C56/2</f>
        <v>8.3333333333333332E-3</v>
      </c>
      <c r="D58" s="1" t="s">
        <v>1846</v>
      </c>
    </row>
    <row r="59" spans="2:5">
      <c r="B59" s="1" t="s">
        <v>1863</v>
      </c>
      <c r="C59" s="284">
        <f>TAN(RADIANS(C58))*C55</f>
        <v>4.363323160753052E-3</v>
      </c>
      <c r="D59" s="1" t="s">
        <v>212</v>
      </c>
    </row>
    <row r="60" spans="2:5">
      <c r="B60" s="1" t="s">
        <v>3268</v>
      </c>
      <c r="C60" s="284">
        <f>C59*2</f>
        <v>8.7266463215061041E-3</v>
      </c>
      <c r="D60" s="1" t="s">
        <v>212</v>
      </c>
    </row>
    <row r="61" spans="2:5">
      <c r="C61" s="284">
        <f>C60*10</f>
        <v>8.7266463215061041E-2</v>
      </c>
      <c r="D61" s="1" t="s">
        <v>344</v>
      </c>
    </row>
    <row r="63" spans="2:5">
      <c r="B63" s="1" t="s">
        <v>3269</v>
      </c>
      <c r="C63" s="326">
        <v>36</v>
      </c>
      <c r="D63" s="1" t="s">
        <v>344</v>
      </c>
    </row>
    <row r="64" spans="2:5">
      <c r="B64" s="1" t="s">
        <v>3270</v>
      </c>
      <c r="C64" s="326">
        <v>300</v>
      </c>
      <c r="D64" s="1" t="s">
        <v>344</v>
      </c>
    </row>
    <row r="66" spans="2:5">
      <c r="B66" s="1" t="s">
        <v>282</v>
      </c>
      <c r="C66" s="1">
        <f>C64/C63</f>
        <v>8.3333333333333339</v>
      </c>
    </row>
    <row r="67" spans="2:5">
      <c r="B67" s="1" t="s">
        <v>3271</v>
      </c>
      <c r="C67" s="1">
        <f>C61/C66</f>
        <v>1.0471975585807324E-2</v>
      </c>
      <c r="D67" s="1" t="s">
        <v>344</v>
      </c>
      <c r="E67" s="1" t="s">
        <v>3272</v>
      </c>
    </row>
    <row r="69" spans="2:5">
      <c r="B69" s="1" t="str">
        <f>"Der Zerstreuungskreisdurchmesser auf der Vergrößerung darf "&amp;ROUND(C61,3)&amp;" mm, auf dem Film "&amp;ROUND(C67,3)&amp;" mm groß sein."</f>
        <v>Der Zerstreuungskreisdurchmesser auf der Vergrößerung darf 0,087 mm, auf dem Film 0,01 mm groß sein.</v>
      </c>
    </row>
    <row r="72" spans="2:5">
      <c r="B72" s="927" t="s">
        <v>3273</v>
      </c>
    </row>
    <row r="73" spans="2:5">
      <c r="B73" s="3" t="s">
        <v>3274</v>
      </c>
    </row>
    <row r="74" spans="2:5">
      <c r="B74" s="1" t="s">
        <v>3275</v>
      </c>
    </row>
    <row r="77" spans="2:5">
      <c r="B77" s="239" t="s">
        <v>3276</v>
      </c>
      <c r="C77" s="681">
        <f>1/60</f>
        <v>1.6666666666666666E-2</v>
      </c>
      <c r="D77" s="3" t="s">
        <v>1846</v>
      </c>
      <c r="E77" s="3" t="s">
        <v>3277</v>
      </c>
    </row>
    <row r="78" spans="2:5">
      <c r="B78" s="239" t="s">
        <v>3278</v>
      </c>
      <c r="C78" s="681">
        <v>3000</v>
      </c>
      <c r="D78" s="3" t="s">
        <v>344</v>
      </c>
    </row>
    <row r="79" spans="2:5">
      <c r="B79" s="165"/>
    </row>
    <row r="80" spans="2:5">
      <c r="B80" s="239" t="s">
        <v>1900</v>
      </c>
      <c r="C80" s="1">
        <f>RADIANS(C77)</f>
        <v>2.9088820866572158E-4</v>
      </c>
    </row>
    <row r="81" spans="2:5">
      <c r="B81" s="239" t="s">
        <v>3279</v>
      </c>
      <c r="C81" s="1">
        <f>TAN(C80)</f>
        <v>2.9088821687031592E-4</v>
      </c>
    </row>
    <row r="82" spans="2:5">
      <c r="B82" s="165"/>
      <c r="E82" s="3" t="s">
        <v>3280</v>
      </c>
    </row>
    <row r="83" spans="2:5">
      <c r="B83" s="239" t="s">
        <v>1863</v>
      </c>
      <c r="C83" s="1">
        <f>C81*C78</f>
        <v>0.87266465061094778</v>
      </c>
      <c r="D83" s="3" t="s">
        <v>344</v>
      </c>
      <c r="E83" s="3" t="s">
        <v>3281</v>
      </c>
    </row>
    <row r="84" spans="2:5">
      <c r="B84" s="165"/>
    </row>
    <row r="85" spans="2:5">
      <c r="B85" s="239" t="s">
        <v>3282</v>
      </c>
      <c r="C85" s="1">
        <f>2*C83</f>
        <v>1.7453293012218956</v>
      </c>
      <c r="D85" s="3" t="s">
        <v>344</v>
      </c>
      <c r="E85" s="3" t="s">
        <v>3283</v>
      </c>
    </row>
    <row r="86" spans="2:5">
      <c r="B86" s="165"/>
    </row>
    <row r="87" spans="2:5">
      <c r="B87" s="165"/>
    </row>
    <row r="88" spans="2:5">
      <c r="B88" s="165"/>
    </row>
    <row r="89" spans="2:5">
      <c r="B89" s="165" t="str">
        <f>"Der Öffnungsdurchmesser ist " &amp; ROUND(C85,2) &amp; " mm."</f>
        <v>Der Öffnungsdurchmesser ist 1,75 mm.</v>
      </c>
    </row>
    <row r="90" spans="2:5">
      <c r="B90" s="165"/>
    </row>
    <row r="91" spans="2:5">
      <c r="B91" s="165"/>
    </row>
    <row r="97" spans="2:2">
      <c r="B97" s="1" t="s">
        <v>3284</v>
      </c>
    </row>
    <row r="98" spans="2:2">
      <c r="B98" s="1" t="s">
        <v>3285</v>
      </c>
    </row>
    <row r="99" spans="2:2">
      <c r="B99" s="1" t="s">
        <v>3286</v>
      </c>
    </row>
    <row r="100" spans="2:2">
      <c r="B100" s="1" t="s">
        <v>3287</v>
      </c>
    </row>
    <row r="101" spans="2:2">
      <c r="B101" s="1" t="s">
        <v>3288</v>
      </c>
    </row>
    <row r="117" spans="3:7">
      <c r="C117" s="239" t="s">
        <v>3289</v>
      </c>
      <c r="D117" s="1152">
        <v>16</v>
      </c>
    </row>
    <row r="118" spans="3:7">
      <c r="C118" s="239" t="s">
        <v>3290</v>
      </c>
      <c r="D118" s="1152">
        <v>9</v>
      </c>
      <c r="F118" s="1" t="s">
        <v>3291</v>
      </c>
    </row>
    <row r="119" spans="3:7">
      <c r="C119" s="239" t="s">
        <v>3292</v>
      </c>
      <c r="D119" s="1">
        <f>SQRT(D117^2+D118^2)</f>
        <v>18.357559750685819</v>
      </c>
      <c r="G119" s="1" t="s">
        <v>3293</v>
      </c>
    </row>
    <row r="121" spans="3:7">
      <c r="C121" s="165" t="s">
        <v>3251</v>
      </c>
      <c r="D121" s="326">
        <v>1920</v>
      </c>
      <c r="E121" s="1" t="s">
        <v>523</v>
      </c>
    </row>
    <row r="122" spans="3:7">
      <c r="C122" s="239" t="s">
        <v>3294</v>
      </c>
      <c r="D122" s="1152">
        <v>46</v>
      </c>
      <c r="E122" s="3" t="s">
        <v>3295</v>
      </c>
    </row>
    <row r="123" spans="3:7">
      <c r="C123" s="165" t="s">
        <v>3296</v>
      </c>
      <c r="D123" s="1152">
        <v>2.54</v>
      </c>
      <c r="E123" s="1" t="s">
        <v>212</v>
      </c>
    </row>
    <row r="124" spans="3:7">
      <c r="C124" s="239" t="s">
        <v>3294</v>
      </c>
      <c r="D124" s="504">
        <f>D122*D123</f>
        <v>116.84</v>
      </c>
      <c r="E124" s="1" t="s">
        <v>212</v>
      </c>
      <c r="F124" s="1153"/>
    </row>
    <row r="125" spans="3:7">
      <c r="C125" s="165" t="s">
        <v>520</v>
      </c>
      <c r="D125" s="685">
        <f>D124*D117/D119</f>
        <v>101.83488575763234</v>
      </c>
      <c r="E125" s="1" t="s">
        <v>212</v>
      </c>
      <c r="F125" s="1153"/>
    </row>
    <row r="126" spans="3:7">
      <c r="C126" s="239" t="s">
        <v>526</v>
      </c>
      <c r="D126" s="292">
        <f>D124*D118/D119</f>
        <v>57.282123238668184</v>
      </c>
      <c r="E126" s="3" t="s">
        <v>212</v>
      </c>
      <c r="F126" s="1153"/>
    </row>
    <row r="128" spans="3:7">
      <c r="C128" s="165" t="s">
        <v>3252</v>
      </c>
      <c r="D128" s="1150">
        <f>1/60</f>
        <v>1.6666666666666666E-2</v>
      </c>
      <c r="E128" s="1" t="s">
        <v>1846</v>
      </c>
      <c r="F128" s="1" t="str">
        <f>"entspricht "&amp;D128*60&amp;" Winkelminute"</f>
        <v>entspricht 1 Winkelminute</v>
      </c>
    </row>
    <row r="129" spans="3:6">
      <c r="C129" s="165" t="s">
        <v>3253</v>
      </c>
      <c r="D129" s="284">
        <f>D128/2</f>
        <v>8.3333333333333332E-3</v>
      </c>
      <c r="E129" s="1" t="s">
        <v>1846</v>
      </c>
    </row>
    <row r="130" spans="3:6">
      <c r="C130" s="165" t="s">
        <v>3254</v>
      </c>
      <c r="D130" s="284">
        <f>D125/D121</f>
        <v>5.3039002998766842E-2</v>
      </c>
      <c r="E130" s="1" t="s">
        <v>212</v>
      </c>
    </row>
    <row r="131" spans="3:6">
      <c r="C131" s="165" t="s">
        <v>3255</v>
      </c>
      <c r="D131" s="284">
        <f>D130/2</f>
        <v>2.6519501499383421E-2</v>
      </c>
      <c r="E131" s="1" t="s">
        <v>212</v>
      </c>
      <c r="F131" s="1" t="s">
        <v>3256</v>
      </c>
    </row>
    <row r="132" spans="3:6">
      <c r="C132" s="165"/>
      <c r="D132" s="284"/>
      <c r="F132" s="1" t="s">
        <v>3257</v>
      </c>
    </row>
    <row r="133" spans="3:6">
      <c r="C133" s="165" t="s">
        <v>3258</v>
      </c>
      <c r="D133" s="284">
        <f>D131/TAN(RADIANS(D129))</f>
        <v>182.33465999896171</v>
      </c>
      <c r="E133" s="1" t="s">
        <v>212</v>
      </c>
      <c r="F133" s="1" t="s">
        <v>3259</v>
      </c>
    </row>
    <row r="134" spans="3:6">
      <c r="C134" s="165"/>
      <c r="D134" s="284"/>
    </row>
    <row r="135" spans="3:6">
      <c r="C135" s="287" t="str">
        <f>"Man kann die Bildschirmpixel nicht mehr erkennen, wenn man weiter als "&amp; ROUND(D133,2) &amp; " Zentimeter entfernt ist."</f>
        <v>Man kann die Bildschirmpixel nicht mehr erkennen, wenn man weiter als 182,33 Zentimeter entfernt ist.</v>
      </c>
      <c r="D135" s="284"/>
    </row>
  </sheetData>
  <pageMargins left="0.78740157499999996" right="0.78740157499999996" top="0.984251969" bottom="0.984251969" header="0.4921259845" footer="0.492125984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I90"/>
  <sheetViews>
    <sheetView zoomScaleNormal="100" workbookViewId="0">
      <selection activeCell="J40" sqref="J40"/>
    </sheetView>
  </sheetViews>
  <sheetFormatPr baseColWidth="10" defaultRowHeight="12.75"/>
  <cols>
    <col min="3" max="3" width="37.7109375" style="56" customWidth="1"/>
    <col min="4" max="4" width="9.7109375" style="318" customWidth="1"/>
    <col min="9" max="9" width="23.42578125" customWidth="1"/>
    <col min="10" max="10" width="13.42578125" customWidth="1"/>
    <col min="12" max="12" width="22.5703125" customWidth="1"/>
  </cols>
  <sheetData>
    <row r="1" spans="1:9" s="1" customFormat="1">
      <c r="C1" s="165"/>
      <c r="D1" s="26"/>
    </row>
    <row r="2" spans="1:9" s="1" customFormat="1">
      <c r="C2" s="165"/>
      <c r="D2" s="26"/>
    </row>
    <row r="3" spans="1:9" s="1" customFormat="1">
      <c r="C3" s="165"/>
      <c r="D3" s="26"/>
    </row>
    <row r="4" spans="1:9" s="1" customFormat="1">
      <c r="C4" s="165"/>
      <c r="D4" s="26"/>
    </row>
    <row r="5" spans="1:9" s="1" customFormat="1">
      <c r="C5" s="165"/>
      <c r="D5" s="26"/>
    </row>
    <row r="6" spans="1:9" s="1" customFormat="1">
      <c r="C6" s="165"/>
      <c r="D6" s="26"/>
    </row>
    <row r="7" spans="1:9" s="1" customFormat="1">
      <c r="C7" s="165"/>
      <c r="D7" s="26"/>
    </row>
    <row r="8" spans="1:9" s="1" customFormat="1">
      <c r="C8" s="165"/>
      <c r="D8" s="26"/>
    </row>
    <row r="9" spans="1:9" s="1" customFormat="1">
      <c r="C9" s="165"/>
      <c r="D9" s="26"/>
    </row>
    <row r="10" spans="1:9" s="1" customFormat="1">
      <c r="C10" s="165"/>
      <c r="D10" s="26"/>
    </row>
    <row r="11" spans="1:9" s="1" customFormat="1">
      <c r="C11" s="165"/>
      <c r="D11" s="26"/>
    </row>
    <row r="12" spans="1:9" s="1" customFormat="1">
      <c r="C12" s="165"/>
      <c r="D12" s="26"/>
    </row>
    <row r="13" spans="1:9" s="1" customFormat="1">
      <c r="C13" s="165"/>
      <c r="D13" s="26"/>
    </row>
    <row r="14" spans="1:9" s="1" customFormat="1">
      <c r="C14" s="165"/>
      <c r="D14" s="26"/>
    </row>
    <row r="15" spans="1:9" ht="15">
      <c r="A15" s="24"/>
      <c r="B15" s="1154" t="s">
        <v>3297</v>
      </c>
      <c r="C15" s="37"/>
      <c r="D15" s="346"/>
      <c r="E15" s="24"/>
      <c r="F15" s="24"/>
      <c r="G15" s="24"/>
      <c r="H15" s="24"/>
      <c r="I15" s="24"/>
    </row>
    <row r="16" spans="1:9">
      <c r="A16" s="24"/>
      <c r="B16" s="24"/>
      <c r="C16" s="37"/>
      <c r="D16" s="346"/>
      <c r="E16" s="24"/>
      <c r="F16" s="24"/>
      <c r="G16" s="24"/>
      <c r="H16" s="24"/>
      <c r="I16" s="24"/>
    </row>
    <row r="17" spans="1:9">
      <c r="A17" s="24"/>
      <c r="B17" s="24" t="s">
        <v>3298</v>
      </c>
      <c r="C17" s="37"/>
      <c r="D17" s="346"/>
      <c r="E17" s="24"/>
      <c r="F17" s="24"/>
      <c r="G17" s="24"/>
      <c r="H17" s="24"/>
      <c r="I17" s="24"/>
    </row>
    <row r="18" spans="1:9">
      <c r="A18" s="24"/>
      <c r="B18" s="24" t="s">
        <v>3299</v>
      </c>
      <c r="C18" s="37"/>
      <c r="D18" s="346"/>
      <c r="E18" s="24"/>
      <c r="F18" s="24"/>
      <c r="G18" s="24"/>
      <c r="H18" s="24"/>
      <c r="I18" s="24"/>
    </row>
    <row r="19" spans="1:9">
      <c r="A19" s="24"/>
      <c r="B19" s="24" t="s">
        <v>3300</v>
      </c>
      <c r="C19" s="37"/>
      <c r="D19" s="346"/>
      <c r="E19" s="24"/>
      <c r="F19" s="24"/>
      <c r="G19" s="24"/>
      <c r="H19" s="24"/>
      <c r="I19" s="24"/>
    </row>
    <row r="20" spans="1:9">
      <c r="A20" s="24"/>
      <c r="B20" s="24" t="s">
        <v>3301</v>
      </c>
      <c r="C20" s="37"/>
      <c r="D20" s="346"/>
      <c r="E20" s="24"/>
      <c r="F20" s="24"/>
      <c r="G20" s="24"/>
      <c r="H20" s="24"/>
      <c r="I20" s="24"/>
    </row>
    <row r="21" spans="1:9">
      <c r="A21" s="24"/>
      <c r="B21" s="24"/>
      <c r="C21" s="37"/>
      <c r="D21" s="346"/>
      <c r="E21" s="24"/>
      <c r="F21" s="24"/>
      <c r="G21" s="24"/>
      <c r="H21" s="24"/>
      <c r="I21" s="24"/>
    </row>
    <row r="22" spans="1:9">
      <c r="A22" s="24"/>
      <c r="B22" s="24"/>
      <c r="C22" s="37"/>
      <c r="D22" s="1155">
        <v>1</v>
      </c>
      <c r="E22" s="1155">
        <v>2</v>
      </c>
      <c r="F22" s="1155">
        <v>3</v>
      </c>
      <c r="G22" s="1155">
        <v>4</v>
      </c>
      <c r="H22" s="24"/>
      <c r="I22" s="24"/>
    </row>
    <row r="23" spans="1:9">
      <c r="A23" s="24"/>
      <c r="B23" s="24"/>
      <c r="C23" s="37" t="s">
        <v>3302</v>
      </c>
      <c r="D23" s="1156">
        <v>100</v>
      </c>
      <c r="E23" s="1156">
        <f>D23</f>
        <v>100</v>
      </c>
      <c r="F23" s="1156">
        <f>E23</f>
        <v>100</v>
      </c>
      <c r="G23" s="1156">
        <f>F23</f>
        <v>100</v>
      </c>
      <c r="H23" s="24"/>
      <c r="I23" s="24"/>
    </row>
    <row r="24" spans="1:9">
      <c r="A24" s="24"/>
      <c r="B24" s="24"/>
      <c r="C24" s="607" t="s">
        <v>124</v>
      </c>
      <c r="D24" s="1156">
        <v>4</v>
      </c>
      <c r="E24" s="1156">
        <v>8</v>
      </c>
      <c r="F24" s="1156">
        <v>16</v>
      </c>
      <c r="G24" s="1156">
        <v>45</v>
      </c>
      <c r="H24" s="24"/>
      <c r="I24" s="24"/>
    </row>
    <row r="25" spans="1:9">
      <c r="A25" s="24"/>
      <c r="B25" s="24"/>
      <c r="C25" s="607" t="s">
        <v>3207</v>
      </c>
      <c r="D25" s="1156">
        <v>110</v>
      </c>
      <c r="E25" s="1156">
        <f>D25</f>
        <v>110</v>
      </c>
      <c r="F25" s="1156">
        <f>E25</f>
        <v>110</v>
      </c>
      <c r="G25" s="1156">
        <f>F25</f>
        <v>110</v>
      </c>
      <c r="H25" s="24"/>
      <c r="I25" s="24"/>
    </row>
    <row r="26" spans="1:9">
      <c r="A26" s="24"/>
      <c r="B26" s="24"/>
      <c r="C26" s="607" t="s">
        <v>3303</v>
      </c>
      <c r="D26" s="1157">
        <v>0.13200000000000001</v>
      </c>
      <c r="E26" s="1157">
        <v>0.26500000000000001</v>
      </c>
      <c r="F26" s="1157">
        <v>0.53100000000000003</v>
      </c>
      <c r="G26" s="1157">
        <v>1.4950000000000001</v>
      </c>
      <c r="H26" s="24"/>
      <c r="I26" s="24"/>
    </row>
    <row r="27" spans="1:9">
      <c r="A27" s="24"/>
      <c r="B27" s="27" t="s">
        <v>3304</v>
      </c>
      <c r="C27" s="37"/>
      <c r="D27" s="1158"/>
      <c r="E27" s="1158"/>
      <c r="F27" s="1158"/>
      <c r="G27" s="1158"/>
      <c r="H27" s="24"/>
      <c r="I27" s="24"/>
    </row>
    <row r="28" spans="1:9">
      <c r="A28" s="24"/>
      <c r="B28" s="37"/>
      <c r="C28" s="37"/>
      <c r="D28" s="1158"/>
      <c r="E28" s="1158"/>
      <c r="F28" s="1158"/>
      <c r="G28" s="1158"/>
      <c r="H28" s="24"/>
      <c r="I28" s="24"/>
    </row>
    <row r="29" spans="1:9">
      <c r="A29" s="24"/>
      <c r="B29" s="37" t="s">
        <v>2926</v>
      </c>
      <c r="C29" s="37"/>
      <c r="D29" s="25"/>
      <c r="E29" s="25"/>
      <c r="F29" s="25"/>
      <c r="G29" s="25"/>
      <c r="H29" s="24"/>
      <c r="I29" s="24"/>
    </row>
    <row r="30" spans="1:9">
      <c r="A30" s="24"/>
      <c r="B30" s="24"/>
      <c r="C30" s="37" t="s">
        <v>3305</v>
      </c>
      <c r="D30" s="25">
        <f>D24</f>
        <v>4</v>
      </c>
      <c r="E30" s="25">
        <f>E24</f>
        <v>8</v>
      </c>
      <c r="F30" s="25">
        <f>F24</f>
        <v>16</v>
      </c>
      <c r="G30" s="25">
        <f>G24</f>
        <v>45</v>
      </c>
      <c r="H30" s="24"/>
      <c r="I30" s="24"/>
    </row>
    <row r="31" spans="1:9">
      <c r="A31" s="24"/>
      <c r="B31" s="24"/>
      <c r="C31" s="37" t="s">
        <v>3306</v>
      </c>
      <c r="D31" s="1159">
        <f>1/D24*D25</f>
        <v>27.5</v>
      </c>
      <c r="E31" s="1159">
        <f>1/E24*E25</f>
        <v>13.75</v>
      </c>
      <c r="F31" s="1159">
        <f>1/F24*F25</f>
        <v>6.875</v>
      </c>
      <c r="G31" s="1159">
        <f>1/G24*G25</f>
        <v>2.4444444444444446</v>
      </c>
      <c r="H31" s="24"/>
      <c r="I31" s="24"/>
    </row>
    <row r="32" spans="1:9">
      <c r="A32" s="24"/>
      <c r="B32" s="24"/>
      <c r="C32" s="37" t="s">
        <v>3307</v>
      </c>
      <c r="D32" s="1159">
        <f>D31/2</f>
        <v>13.75</v>
      </c>
      <c r="E32" s="1159">
        <f>E31/2</f>
        <v>6.875</v>
      </c>
      <c r="F32" s="1159">
        <f>F31/2</f>
        <v>3.4375</v>
      </c>
      <c r="G32" s="1159">
        <f>G31/2</f>
        <v>1.2222222222222223</v>
      </c>
      <c r="H32" s="24"/>
      <c r="I32" s="24"/>
    </row>
    <row r="33" spans="1:9">
      <c r="A33" s="24"/>
      <c r="B33" s="24"/>
      <c r="C33" s="37"/>
      <c r="D33" s="25"/>
      <c r="E33" s="25"/>
      <c r="F33" s="25"/>
      <c r="G33" s="25"/>
      <c r="H33" s="24"/>
      <c r="I33" s="24"/>
    </row>
    <row r="34" spans="1:9">
      <c r="A34" s="24"/>
      <c r="B34" s="24"/>
      <c r="C34" s="37" t="s">
        <v>3308</v>
      </c>
      <c r="D34" s="25">
        <f>TAN(D32/D25)</f>
        <v>0.12565513657513097</v>
      </c>
      <c r="E34" s="25">
        <f>TAN(E32/E25)</f>
        <v>6.2581507566275021E-2</v>
      </c>
      <c r="F34" s="25">
        <f>TAN(F32/F25)</f>
        <v>3.1260176501255954E-2</v>
      </c>
      <c r="G34" s="25">
        <f>TAN(G32/G25)</f>
        <v>1.1111568381063185E-2</v>
      </c>
      <c r="H34" s="24"/>
      <c r="I34" s="24"/>
    </row>
    <row r="35" spans="1:9">
      <c r="A35" s="24"/>
      <c r="B35" s="24"/>
      <c r="C35" s="37" t="s">
        <v>1938</v>
      </c>
      <c r="D35" s="25">
        <f>ATAN(D34)</f>
        <v>0.125</v>
      </c>
      <c r="E35" s="25">
        <f>ATAN(E34)</f>
        <v>6.25E-2</v>
      </c>
      <c r="F35" s="25">
        <f>ATAN(F34)</f>
        <v>3.1249999999999997E-2</v>
      </c>
      <c r="G35" s="25">
        <f>ATAN(G34)</f>
        <v>1.1111111111111112E-2</v>
      </c>
      <c r="H35" s="24"/>
      <c r="I35" s="24"/>
    </row>
    <row r="36" spans="1:9">
      <c r="A36" s="24"/>
      <c r="B36" s="24"/>
      <c r="C36" s="37" t="s">
        <v>3309</v>
      </c>
      <c r="D36" s="1159">
        <f>DEGREES(D35)</f>
        <v>7.1619724391352904</v>
      </c>
      <c r="E36" s="1159">
        <f>DEGREES(E35)</f>
        <v>3.5809862195676452</v>
      </c>
      <c r="F36" s="1159">
        <f>DEGREES(F35)</f>
        <v>1.7904931097838224</v>
      </c>
      <c r="G36" s="1159">
        <f>DEGREES(G35)</f>
        <v>0.63661977236758138</v>
      </c>
      <c r="H36" s="24"/>
      <c r="I36" s="24"/>
    </row>
    <row r="37" spans="1:9">
      <c r="A37" s="24"/>
      <c r="B37" s="24"/>
      <c r="C37" s="37"/>
      <c r="D37" s="25"/>
      <c r="E37" s="25"/>
      <c r="F37" s="25"/>
      <c r="G37" s="25"/>
      <c r="H37" s="24"/>
      <c r="I37" s="24"/>
    </row>
    <row r="38" spans="1:9">
      <c r="A38" s="24"/>
      <c r="B38" s="24"/>
      <c r="C38" s="607" t="s">
        <v>3310</v>
      </c>
      <c r="D38" s="1160">
        <f>(D34*D26)*2</f>
        <v>3.3172956055834577E-2</v>
      </c>
      <c r="E38" s="1160">
        <f>(E34*E26)*2</f>
        <v>3.3168199010125764E-2</v>
      </c>
      <c r="F38" s="1160">
        <f>(F34*F26)*2</f>
        <v>3.3198307444333823E-2</v>
      </c>
      <c r="G38" s="1160">
        <f>(G34*G26)*2</f>
        <v>3.3223589459378929E-2</v>
      </c>
      <c r="H38" s="24"/>
      <c r="I38" s="24"/>
    </row>
    <row r="39" spans="1:9">
      <c r="A39" s="24"/>
      <c r="B39" s="24"/>
      <c r="C39" s="37"/>
      <c r="D39" s="25"/>
      <c r="E39" s="25"/>
      <c r="F39" s="25"/>
      <c r="G39" s="25"/>
      <c r="H39" s="24"/>
      <c r="I39" s="24"/>
    </row>
    <row r="40" spans="1:9">
      <c r="A40" s="24"/>
      <c r="B40" s="65"/>
      <c r="C40" s="29" t="s">
        <v>3311</v>
      </c>
      <c r="D40" s="1161">
        <f>D25/D26</f>
        <v>833.33333333333326</v>
      </c>
      <c r="E40" s="1161">
        <f>E25/E26</f>
        <v>415.09433962264148</v>
      </c>
      <c r="F40" s="1161">
        <f>F25/F26</f>
        <v>207.15630885122408</v>
      </c>
      <c r="G40" s="1161">
        <f>G25/G26</f>
        <v>73.578595317725743</v>
      </c>
      <c r="H40" s="24"/>
      <c r="I40" s="24"/>
    </row>
    <row r="41" spans="1:9">
      <c r="A41" s="24"/>
      <c r="B41" s="24"/>
      <c r="C41" s="37"/>
      <c r="D41" s="25"/>
      <c r="E41" s="25"/>
      <c r="F41" s="25"/>
      <c r="G41" s="25"/>
      <c r="H41" s="24"/>
      <c r="I41" s="24"/>
    </row>
    <row r="42" spans="1:9">
      <c r="A42" s="24"/>
      <c r="B42" s="24"/>
      <c r="C42" s="37" t="s">
        <v>3312</v>
      </c>
      <c r="D42" s="1159">
        <f>D23+1/(D25/D23-1)*D23</f>
        <v>1099.9999999999991</v>
      </c>
      <c r="E42" s="1159">
        <f>E23+1/(E25/E23-1)*E23</f>
        <v>1099.9999999999991</v>
      </c>
      <c r="F42" s="1159">
        <f>F23+1/(F25/F23-1)*F23</f>
        <v>1099.9999999999991</v>
      </c>
      <c r="G42" s="1159">
        <f>G23+1/(G25/G23-1)*G23</f>
        <v>1099.9999999999991</v>
      </c>
      <c r="H42" s="24"/>
      <c r="I42" s="24"/>
    </row>
    <row r="43" spans="1:9" ht="25.5">
      <c r="A43" s="24"/>
      <c r="B43" s="24"/>
      <c r="C43" s="1162" t="s">
        <v>3313</v>
      </c>
      <c r="D43" s="1163">
        <f>D23+1/((D25+D26)/D23-1)*D23</f>
        <v>1086.9719699960515</v>
      </c>
      <c r="E43" s="1163">
        <f>E23+1/((E25+E26)/E23-1)*E23</f>
        <v>1074.1841207988318</v>
      </c>
      <c r="F43" s="1163">
        <f>F23+1/((F25+F26)/F23-1)*F23</f>
        <v>1049.5774380400721</v>
      </c>
      <c r="G43" s="1163">
        <f>G23+1/((G25+G26)/G23-1)*G23</f>
        <v>969.94345367551023</v>
      </c>
      <c r="H43" s="24"/>
      <c r="I43" s="24"/>
    </row>
    <row r="44" spans="1:9" ht="54" customHeight="1">
      <c r="A44" s="24"/>
      <c r="B44" s="24"/>
      <c r="C44" s="1162" t="s">
        <v>3314</v>
      </c>
      <c r="D44" s="1163">
        <f>D23+1/((D25-D26)/D23-1)*D23</f>
        <v>1113.3765707336861</v>
      </c>
      <c r="E44" s="1163">
        <f>E23+1/((E25-E26)/E23-1)*E23</f>
        <v>1127.2213662044167</v>
      </c>
      <c r="F44" s="1163">
        <f>F23+1/((F25-F26)/F23-1)*F23</f>
        <v>1156.0777273207314</v>
      </c>
      <c r="G44" s="1163">
        <f>G23+1/((G25-G26)/G23-1)*G23</f>
        <v>1275.7789535567335</v>
      </c>
      <c r="H44" s="24"/>
      <c r="I44" s="24"/>
    </row>
    <row r="45" spans="1:9">
      <c r="A45" s="24"/>
      <c r="B45" s="24"/>
      <c r="C45" s="37" t="s">
        <v>3315</v>
      </c>
      <c r="D45" s="1163">
        <f>D42-D43</f>
        <v>13.028030003947606</v>
      </c>
      <c r="E45" s="1163">
        <f>E42-E43</f>
        <v>25.815879201167263</v>
      </c>
      <c r="F45" s="1163">
        <f>F42-F43</f>
        <v>50.422561959926952</v>
      </c>
      <c r="G45" s="1163">
        <f>G42-G43</f>
        <v>130.05654632448886</v>
      </c>
      <c r="H45" s="24"/>
      <c r="I45" s="24"/>
    </row>
    <row r="46" spans="1:9">
      <c r="A46" s="24"/>
      <c r="B46" s="24"/>
      <c r="C46" s="37" t="s">
        <v>3316</v>
      </c>
      <c r="D46" s="1163">
        <f>-D42+D44</f>
        <v>13.376570733687004</v>
      </c>
      <c r="E46" s="1163">
        <f>-E42+E44</f>
        <v>27.221366204417563</v>
      </c>
      <c r="F46" s="1163">
        <f>-F42+F44</f>
        <v>56.077727320732265</v>
      </c>
      <c r="G46" s="1163">
        <f>-G42+G44</f>
        <v>175.77895355673445</v>
      </c>
      <c r="H46" s="24"/>
      <c r="I46" s="24"/>
    </row>
    <row r="47" spans="1:9">
      <c r="A47" s="24"/>
      <c r="B47" s="24"/>
      <c r="C47" s="37" t="s">
        <v>3317</v>
      </c>
      <c r="D47" s="1163" t="str">
        <f>"1 : "&amp;ROUND(D46/D45,2)</f>
        <v>1 : 1,03</v>
      </c>
      <c r="E47" s="1163" t="str">
        <f>"1 : "&amp;ROUND(E46/E45,2)</f>
        <v>1 : 1,05</v>
      </c>
      <c r="F47" s="1163" t="str">
        <f>"1 : "&amp;ROUND(F46/F45,2)</f>
        <v>1 : 1,11</v>
      </c>
      <c r="G47" s="1163" t="str">
        <f>"1 : "&amp;ROUND(G46/G45,2)</f>
        <v>1 : 1,35</v>
      </c>
      <c r="H47" s="24"/>
      <c r="I47" s="24"/>
    </row>
    <row r="48" spans="1:9" ht="12" customHeight="1">
      <c r="A48" s="24"/>
      <c r="B48" s="24"/>
      <c r="C48" s="37"/>
      <c r="D48" s="346"/>
      <c r="E48" s="24"/>
      <c r="F48" s="24"/>
      <c r="G48" s="24"/>
      <c r="H48" s="24"/>
      <c r="I48" s="24"/>
    </row>
    <row r="49" spans="1:9" ht="51">
      <c r="A49" s="24"/>
      <c r="B49" s="24"/>
      <c r="C49" s="1164" t="s">
        <v>3318</v>
      </c>
      <c r="D49" s="346"/>
      <c r="E49" s="24" t="s">
        <v>3096</v>
      </c>
      <c r="F49" s="24"/>
      <c r="G49" s="24"/>
      <c r="H49" s="24"/>
      <c r="I49" s="24"/>
    </row>
    <row r="50" spans="1:9" ht="51">
      <c r="A50" s="24"/>
      <c r="B50" s="24"/>
      <c r="C50" s="1164" t="s">
        <v>3319</v>
      </c>
      <c r="D50" s="346"/>
      <c r="E50" s="24"/>
      <c r="F50" s="1165"/>
      <c r="G50" s="24"/>
      <c r="H50" s="24"/>
      <c r="I50" s="24"/>
    </row>
    <row r="51" spans="1:9">
      <c r="A51" s="24"/>
      <c r="B51" s="24"/>
      <c r="C51" s="37"/>
      <c r="D51" s="346"/>
      <c r="E51" s="24"/>
      <c r="F51" s="24"/>
      <c r="G51" s="24"/>
      <c r="H51" s="24"/>
      <c r="I51" s="24"/>
    </row>
    <row r="52" spans="1:9">
      <c r="A52" s="24"/>
      <c r="B52" s="24"/>
      <c r="C52" s="37"/>
      <c r="D52" s="1166"/>
      <c r="E52" s="1167"/>
      <c r="F52" s="24"/>
      <c r="G52" s="24"/>
      <c r="H52" s="24"/>
      <c r="I52" s="24"/>
    </row>
    <row r="53" spans="1:9">
      <c r="A53" s="24"/>
      <c r="B53" s="24"/>
      <c r="C53" s="37"/>
      <c r="D53" s="346"/>
      <c r="E53" s="24"/>
      <c r="F53" s="24"/>
      <c r="G53" s="24"/>
      <c r="H53" s="24"/>
      <c r="I53" s="24"/>
    </row>
    <row r="54" spans="1:9">
      <c r="A54" s="24"/>
      <c r="B54" s="24"/>
      <c r="C54" s="37"/>
      <c r="D54" s="346"/>
      <c r="E54" s="24"/>
      <c r="F54" s="24"/>
      <c r="G54" s="24"/>
      <c r="H54" s="24"/>
      <c r="I54" s="24"/>
    </row>
    <row r="55" spans="1:9" ht="15">
      <c r="A55" s="24"/>
      <c r="B55" s="1154" t="s">
        <v>3320</v>
      </c>
      <c r="C55" s="37"/>
      <c r="D55" s="346"/>
      <c r="E55" s="24"/>
      <c r="F55" s="24"/>
      <c r="G55" s="24"/>
      <c r="H55" s="24"/>
      <c r="I55" s="24"/>
    </row>
    <row r="56" spans="1:9">
      <c r="A56" s="24"/>
      <c r="B56" s="24"/>
      <c r="C56" s="37"/>
      <c r="D56" s="346"/>
      <c r="E56" s="24"/>
      <c r="F56" s="24"/>
      <c r="G56" s="24"/>
      <c r="H56" s="24"/>
      <c r="I56" s="24"/>
    </row>
    <row r="57" spans="1:9">
      <c r="A57" s="24"/>
      <c r="B57" s="24" t="s">
        <v>3298</v>
      </c>
      <c r="C57" s="37"/>
      <c r="D57" s="346"/>
      <c r="E57" s="24"/>
      <c r="F57" s="24"/>
      <c r="G57" s="24"/>
      <c r="H57" s="24"/>
      <c r="I57" s="24"/>
    </row>
    <row r="58" spans="1:9">
      <c r="A58" s="24"/>
      <c r="B58" s="24" t="s">
        <v>3299</v>
      </c>
      <c r="C58" s="37"/>
      <c r="D58" s="346"/>
      <c r="E58" s="24"/>
      <c r="F58" s="24"/>
      <c r="G58" s="24"/>
      <c r="H58" s="24"/>
      <c r="I58" s="24"/>
    </row>
    <row r="59" spans="1:9">
      <c r="A59" s="24"/>
      <c r="B59" s="24" t="s">
        <v>3321</v>
      </c>
      <c r="C59" s="37"/>
      <c r="D59" s="346"/>
      <c r="E59" s="24"/>
      <c r="F59" s="24"/>
      <c r="G59" s="24"/>
      <c r="H59" s="24"/>
      <c r="I59" s="24"/>
    </row>
    <row r="60" spans="1:9">
      <c r="A60" s="24"/>
      <c r="B60" s="24" t="s">
        <v>3322</v>
      </c>
      <c r="C60" s="37"/>
      <c r="D60" s="346"/>
      <c r="E60" s="24"/>
      <c r="F60" s="24"/>
      <c r="G60" s="24"/>
      <c r="H60" s="24"/>
      <c r="I60" s="24"/>
    </row>
    <row r="61" spans="1:9">
      <c r="A61" s="24"/>
      <c r="B61" s="24" t="s">
        <v>3323</v>
      </c>
      <c r="C61" s="37"/>
      <c r="D61" s="346"/>
      <c r="E61" s="24"/>
      <c r="F61" s="24"/>
      <c r="G61" s="24"/>
      <c r="H61" s="24"/>
      <c r="I61" s="24"/>
    </row>
    <row r="62" spans="1:9">
      <c r="A62" s="24"/>
      <c r="B62" s="65" t="s">
        <v>3324</v>
      </c>
      <c r="C62" s="37"/>
      <c r="D62" s="346"/>
      <c r="E62" s="24"/>
      <c r="F62" s="24"/>
      <c r="G62" s="24"/>
      <c r="H62" s="24"/>
      <c r="I62" s="24"/>
    </row>
    <row r="63" spans="1:9">
      <c r="A63" s="24"/>
      <c r="B63" s="24"/>
      <c r="C63" s="37"/>
    </row>
    <row r="64" spans="1:9">
      <c r="A64" s="24"/>
      <c r="B64" s="24"/>
      <c r="C64" s="37"/>
      <c r="D64" s="1155">
        <v>1</v>
      </c>
      <c r="E64" s="1155">
        <v>2</v>
      </c>
      <c r="F64" s="1155">
        <v>3</v>
      </c>
      <c r="G64" s="1155">
        <v>4</v>
      </c>
    </row>
    <row r="65" spans="1:7">
      <c r="A65" s="24"/>
      <c r="B65" s="24"/>
      <c r="C65" s="607" t="s">
        <v>3302</v>
      </c>
      <c r="D65" s="1156">
        <v>100</v>
      </c>
      <c r="E65" s="1156">
        <v>100</v>
      </c>
      <c r="F65" s="1156">
        <f>E65</f>
        <v>100</v>
      </c>
      <c r="G65" s="1156">
        <f>F65</f>
        <v>100</v>
      </c>
    </row>
    <row r="66" spans="1:7">
      <c r="A66" s="24"/>
      <c r="B66" s="24"/>
      <c r="C66" s="607" t="s">
        <v>3325</v>
      </c>
      <c r="D66" s="1156">
        <v>2000</v>
      </c>
      <c r="E66" s="1156">
        <v>4000</v>
      </c>
      <c r="F66" s="1156">
        <v>8000</v>
      </c>
      <c r="G66" s="1156">
        <v>16000</v>
      </c>
    </row>
    <row r="67" spans="1:7">
      <c r="A67" s="24"/>
      <c r="B67" s="24"/>
      <c r="C67" s="607" t="s">
        <v>3326</v>
      </c>
      <c r="D67" s="1156">
        <v>400</v>
      </c>
      <c r="E67" s="1156">
        <v>400</v>
      </c>
      <c r="F67" s="1156">
        <v>400</v>
      </c>
      <c r="G67" s="1156">
        <v>400</v>
      </c>
    </row>
    <row r="68" spans="1:7">
      <c r="A68" s="24"/>
      <c r="B68" s="37"/>
      <c r="C68" s="607" t="s">
        <v>3327</v>
      </c>
      <c r="D68" s="1157">
        <v>0.03</v>
      </c>
      <c r="E68" s="1157">
        <v>0.03</v>
      </c>
      <c r="F68" s="1157">
        <v>0.03</v>
      </c>
      <c r="G68" s="1157">
        <v>0.03</v>
      </c>
    </row>
    <row r="69" spans="1:7">
      <c r="A69" s="24"/>
      <c r="B69" s="24"/>
      <c r="C69" s="37"/>
      <c r="D69" s="1158"/>
      <c r="E69" s="1158"/>
      <c r="F69" s="1158"/>
      <c r="G69" s="1158"/>
    </row>
    <row r="70" spans="1:7">
      <c r="A70" s="24"/>
      <c r="B70" s="37"/>
      <c r="C70" s="37"/>
      <c r="D70" s="1158"/>
      <c r="E70" s="1158"/>
      <c r="F70" s="1158"/>
      <c r="G70" s="1158"/>
    </row>
    <row r="71" spans="1:7">
      <c r="A71" s="24"/>
      <c r="B71" s="37" t="s">
        <v>2926</v>
      </c>
      <c r="C71" s="37"/>
      <c r="D71" s="1159"/>
      <c r="E71" s="25"/>
      <c r="F71" s="25"/>
      <c r="G71" s="25"/>
    </row>
    <row r="72" spans="1:7">
      <c r="A72" s="24"/>
      <c r="B72" s="24"/>
      <c r="C72" s="37" t="s">
        <v>3328</v>
      </c>
      <c r="D72" s="1159">
        <f>D65+1/(D66/D65-1)*D65</f>
        <v>105.26315789473684</v>
      </c>
      <c r="E72" s="1159">
        <f>E65+1/(E66/E65-1)*E65</f>
        <v>102.56410256410257</v>
      </c>
      <c r="F72" s="1159">
        <f>F65+1/(F66/F65-1)*F65</f>
        <v>101.26582278481013</v>
      </c>
      <c r="G72" s="1159">
        <f>G65+1/(G66/G65-1)*G65</f>
        <v>100.62893081761007</v>
      </c>
    </row>
    <row r="73" spans="1:7">
      <c r="A73" s="24"/>
      <c r="B73" s="24"/>
      <c r="C73" s="37" t="s">
        <v>3329</v>
      </c>
      <c r="D73" s="1159">
        <f>D65+1/((D66-D67)/D65-1)*D65</f>
        <v>106.66666666666667</v>
      </c>
      <c r="E73" s="1159">
        <f>E65+1/((E66-E67)/E65-1)*E65</f>
        <v>102.85714285714286</v>
      </c>
      <c r="F73" s="1159">
        <f>F65+1/((F66-F67)/F65-1)*F65</f>
        <v>101.33333333333333</v>
      </c>
      <c r="G73" s="1159">
        <f>G65+1/((G66-G67)/G65-1)*G65</f>
        <v>100.64516129032258</v>
      </c>
    </row>
    <row r="74" spans="1:7">
      <c r="A74" s="24"/>
      <c r="B74" s="24"/>
      <c r="C74" s="37" t="s">
        <v>3330</v>
      </c>
      <c r="D74" s="1168">
        <f>ABS(D73-D72)</f>
        <v>1.403508771929836</v>
      </c>
      <c r="E74" s="1168">
        <f>ABS(E73-E72)</f>
        <v>0.293040293040292</v>
      </c>
      <c r="F74" s="1168">
        <f>ABS(F73-F72)</f>
        <v>6.7510548523202374E-2</v>
      </c>
      <c r="G74" s="1168">
        <f>ABS(G73-G72)</f>
        <v>1.6230472712507549E-2</v>
      </c>
    </row>
    <row r="75" spans="1:7">
      <c r="A75" s="24"/>
      <c r="B75" s="24"/>
      <c r="C75" s="37"/>
      <c r="D75" s="25"/>
      <c r="E75" s="25"/>
      <c r="F75" s="25"/>
      <c r="G75" s="25"/>
    </row>
    <row r="76" spans="1:7">
      <c r="A76" s="24"/>
      <c r="B76" s="24"/>
      <c r="C76" s="37" t="s">
        <v>3308</v>
      </c>
      <c r="D76" s="1169">
        <f>TAN((D68/2)/D74)</f>
        <v>1.0687906936805373E-2</v>
      </c>
      <c r="E76" s="1169">
        <f>TAN((E68/2)/E74)</f>
        <v>5.1232253387668777E-2</v>
      </c>
      <c r="F76" s="1169">
        <f>TAN((F68/2)/F74)</f>
        <v>0.22591743664836045</v>
      </c>
      <c r="G76" s="1169">
        <f>TAN((G68/2)/G74)</f>
        <v>1.3247363782038544</v>
      </c>
    </row>
    <row r="77" spans="1:7">
      <c r="A77" s="24"/>
      <c r="B77" s="24"/>
      <c r="C77" s="37" t="s">
        <v>1938</v>
      </c>
      <c r="D77" s="1169">
        <f>ATAN(D76)</f>
        <v>1.0687499999999912E-2</v>
      </c>
      <c r="E77" s="1169">
        <f>ATAN(E76)</f>
        <v>5.1187500000000177E-2</v>
      </c>
      <c r="F77" s="1169">
        <f>ATAN(F76)</f>
        <v>0.22218750000001439</v>
      </c>
      <c r="G77" s="1169">
        <f>ATAN(G76)</f>
        <v>0.92418750000058092</v>
      </c>
    </row>
    <row r="78" spans="1:7">
      <c r="A78" s="24"/>
      <c r="B78" s="24"/>
      <c r="C78" s="37" t="s">
        <v>3331</v>
      </c>
      <c r="D78" s="1169">
        <f>DEGREES(D77)</f>
        <v>0.61234864354606233</v>
      </c>
      <c r="E78" s="1169">
        <f>DEGREES(E77)</f>
        <v>2.9328277138259113</v>
      </c>
      <c r="F78" s="1169">
        <f>DEGREES(F77)</f>
        <v>12.730406010563803</v>
      </c>
      <c r="G78" s="1169">
        <f>DEGREES(G77)</f>
        <v>52.952043228780056</v>
      </c>
    </row>
    <row r="79" spans="1:7">
      <c r="A79" s="24"/>
      <c r="B79" s="24"/>
      <c r="C79" s="37"/>
      <c r="D79" s="25"/>
      <c r="E79" s="25"/>
      <c r="F79" s="25"/>
      <c r="G79" s="25"/>
    </row>
    <row r="80" spans="1:7">
      <c r="A80" s="24"/>
      <c r="B80" s="24"/>
      <c r="C80" s="29" t="s">
        <v>3332</v>
      </c>
      <c r="D80" s="1170">
        <f>((D68/2)/D74)*D72*2</f>
        <v>2.2499999999999813</v>
      </c>
      <c r="E80" s="1170">
        <f>((E68/2)/E74)*E72*2</f>
        <v>10.500000000000037</v>
      </c>
      <c r="F80" s="1170">
        <f>((F68/2)/F74)*F72*2</f>
        <v>45.000000000002913</v>
      </c>
      <c r="G80" s="1170">
        <f>((G68/2)/G74)*G72*2</f>
        <v>186.00000000011693</v>
      </c>
    </row>
    <row r="81" spans="1:7">
      <c r="A81" s="24"/>
      <c r="B81" s="24"/>
      <c r="C81" s="607" t="s">
        <v>3333</v>
      </c>
      <c r="D81" s="1171">
        <f>D72/D80</f>
        <v>46.783625730994537</v>
      </c>
      <c r="E81" s="1171">
        <f>E72/E80</f>
        <v>9.7680097680097333</v>
      </c>
      <c r="F81" s="1171">
        <f>F72/F80</f>
        <v>2.2503516174400793</v>
      </c>
      <c r="G81" s="1171">
        <f>G72/G80</f>
        <v>0.54101575708358496</v>
      </c>
    </row>
    <row r="82" spans="1:7">
      <c r="A82" s="24"/>
      <c r="B82" s="65"/>
      <c r="C82" s="29" t="s">
        <v>3334</v>
      </c>
      <c r="D82" s="1161">
        <f>D65/D80</f>
        <v>44.444444444444812</v>
      </c>
      <c r="E82" s="1161">
        <f>E65/E80</f>
        <v>9.52380952380949</v>
      </c>
      <c r="F82" s="1161">
        <f>F65/F80</f>
        <v>2.2222222222220784</v>
      </c>
      <c r="G82" s="1161">
        <f>G65/G80</f>
        <v>0.53763440860181255</v>
      </c>
    </row>
    <row r="83" spans="1:7">
      <c r="A83" s="24"/>
      <c r="B83" s="65"/>
      <c r="C83" s="29"/>
      <c r="D83" s="1161"/>
      <c r="E83" s="1161"/>
      <c r="F83" s="1161"/>
      <c r="G83" s="1161"/>
    </row>
    <row r="84" spans="1:7">
      <c r="A84" s="24"/>
      <c r="B84" s="24"/>
      <c r="C84" s="37" t="s">
        <v>3335</v>
      </c>
      <c r="D84" s="25">
        <f>D66-D67</f>
        <v>1600</v>
      </c>
      <c r="E84" s="25">
        <f>E66-E67</f>
        <v>3600</v>
      </c>
      <c r="F84" s="25">
        <f>F66-F67</f>
        <v>7600</v>
      </c>
      <c r="G84" s="25">
        <f>G66-G67</f>
        <v>15600</v>
      </c>
    </row>
    <row r="85" spans="1:7">
      <c r="A85" s="24"/>
      <c r="B85" s="24"/>
      <c r="C85" s="37" t="s">
        <v>3336</v>
      </c>
      <c r="D85" s="1159">
        <f>D65/(D72-D74-D65)*D65+D65</f>
        <v>2690.9090909091033</v>
      </c>
      <c r="E85" s="1159">
        <f>E65/(E72-E74-E65)*E65+E65</f>
        <v>4503.2258064516009</v>
      </c>
      <c r="F85" s="1159">
        <f>F65/(F72-F74-F65)*F65+F65</f>
        <v>8445.0704225351819</v>
      </c>
      <c r="G85" s="1159">
        <f>G65/(G72-G74-G65)*G65+G65</f>
        <v>16421.192052979699</v>
      </c>
    </row>
    <row r="86" spans="1:7">
      <c r="A86" s="24"/>
      <c r="B86" s="24"/>
      <c r="C86" s="37" t="s">
        <v>3315</v>
      </c>
      <c r="D86" s="1159">
        <f>D67</f>
        <v>400</v>
      </c>
      <c r="E86" s="1159">
        <f>E67</f>
        <v>400</v>
      </c>
      <c r="F86" s="1159">
        <f>F67</f>
        <v>400</v>
      </c>
      <c r="G86" s="1159">
        <f>G67</f>
        <v>400</v>
      </c>
    </row>
    <row r="87" spans="1:7">
      <c r="A87" s="24"/>
      <c r="B87" s="24"/>
      <c r="C87" s="37" t="s">
        <v>3316</v>
      </c>
      <c r="D87" s="1159">
        <f>D85-D66</f>
        <v>690.90909090910327</v>
      </c>
      <c r="E87" s="1159">
        <f>E85-E66</f>
        <v>503.22580645160087</v>
      </c>
      <c r="F87" s="1159">
        <f>F85-F66</f>
        <v>445.07042253518193</v>
      </c>
      <c r="G87" s="1159">
        <f>G85-G66</f>
        <v>421.19205297969893</v>
      </c>
    </row>
    <row r="88" spans="1:7">
      <c r="A88" s="24"/>
      <c r="B88" s="24"/>
      <c r="C88" s="37" t="s">
        <v>3337</v>
      </c>
      <c r="D88" s="1163">
        <f>D86+D87</f>
        <v>1090.9090909091033</v>
      </c>
      <c r="E88" s="1163">
        <f>E86+E87</f>
        <v>903.22580645160087</v>
      </c>
      <c r="F88" s="1163">
        <f>F86+F87</f>
        <v>845.07042253518193</v>
      </c>
      <c r="G88" s="1163">
        <f>G86+G87</f>
        <v>821.19205297969893</v>
      </c>
    </row>
    <row r="89" spans="1:7">
      <c r="A89" s="24"/>
      <c r="B89" s="24"/>
      <c r="C89" s="24"/>
      <c r="D89" s="1163"/>
      <c r="E89" s="1163"/>
      <c r="F89" s="1163"/>
      <c r="G89" s="1163"/>
    </row>
    <row r="90" spans="1:7">
      <c r="A90" s="24"/>
      <c r="B90" s="24"/>
      <c r="C90" s="37" t="s">
        <v>3317</v>
      </c>
      <c r="D90" s="924" t="str">
        <f>"1 : "&amp;ROUND(D87/D86,2)</f>
        <v>1 : 1,73</v>
      </c>
      <c r="E90" s="924" t="str">
        <f>"1 : "&amp;ROUND(E87/E86,2)</f>
        <v>1 : 1,26</v>
      </c>
      <c r="F90" s="924" t="str">
        <f>"1 : "&amp;ROUND(F87/F86,2)</f>
        <v>1 : 1,11</v>
      </c>
      <c r="G90" s="924" t="str">
        <f>"1 : "&amp;ROUND(G87/G86,2)</f>
        <v>1 : 1,05</v>
      </c>
    </row>
  </sheetData>
  <pageMargins left="0.78740157499999996" right="0.78740157499999996" top="0.984251969" bottom="0.984251969" header="0.4921259845" footer="0.4921259845"/>
  <pageSetup paperSize="9" orientation="portrait" horizontalDpi="4294967293" r:id="rId1"/>
  <headerFooter alignWithMargins="0">
    <oddHeader>&amp;A</oddHeader>
    <oddFooter>Seite &amp;P</oddFooter>
  </headerFooter>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2"/>
  <dimension ref="A1:W211"/>
  <sheetViews>
    <sheetView topLeftCell="A112" zoomScale="90" zoomScaleNormal="90" workbookViewId="0">
      <selection activeCell="O126" sqref="O126"/>
    </sheetView>
  </sheetViews>
  <sheetFormatPr baseColWidth="10" defaultRowHeight="12.75"/>
  <cols>
    <col min="1" max="1" width="4.140625" customWidth="1"/>
    <col min="2" max="2" width="34.5703125" customWidth="1"/>
    <col min="3" max="3" width="14.7109375" style="318" bestFit="1" customWidth="1"/>
    <col min="4" max="4" width="14.5703125" customWidth="1"/>
    <col min="5" max="5" width="15" customWidth="1"/>
    <col min="6" max="6" width="16.28515625" customWidth="1"/>
    <col min="7" max="7" width="14.28515625" customWidth="1"/>
    <col min="8" max="9" width="14.42578125" customWidth="1"/>
    <col min="10" max="10" width="14.85546875" customWidth="1"/>
    <col min="12" max="12" width="16.28515625" customWidth="1"/>
  </cols>
  <sheetData>
    <row r="1" spans="1:22">
      <c r="A1" s="24"/>
      <c r="C1" s="346"/>
      <c r="D1" s="24"/>
      <c r="E1" s="24"/>
      <c r="F1" s="24"/>
      <c r="G1" s="32"/>
      <c r="H1" s="32"/>
      <c r="I1" s="32"/>
      <c r="J1" s="32"/>
      <c r="K1" s="32"/>
      <c r="L1" s="32"/>
      <c r="M1" s="32"/>
      <c r="N1" s="32"/>
      <c r="O1" s="24"/>
      <c r="P1" s="24"/>
      <c r="Q1" s="24"/>
      <c r="R1" s="24"/>
      <c r="S1" s="24"/>
      <c r="T1" s="24"/>
      <c r="U1" s="24"/>
      <c r="V1" s="24"/>
    </row>
    <row r="2" spans="1:22">
      <c r="A2" s="24"/>
      <c r="B2" s="24"/>
      <c r="C2" s="346"/>
      <c r="D2" s="24"/>
      <c r="E2" s="24"/>
      <c r="F2" s="24"/>
      <c r="G2" s="1189" t="s">
        <v>3364</v>
      </c>
      <c r="H2" s="1190"/>
      <c r="I2" s="1190"/>
      <c r="J2" s="1190"/>
      <c r="K2" s="1190"/>
      <c r="L2" s="1190"/>
      <c r="M2" s="1190"/>
      <c r="N2" s="1190"/>
      <c r="O2" s="1190"/>
      <c r="P2" s="1190"/>
      <c r="Q2" s="1190"/>
      <c r="R2" s="1191"/>
      <c r="S2" s="24"/>
      <c r="T2" s="24"/>
      <c r="U2" s="24"/>
      <c r="V2" s="24"/>
    </row>
    <row r="3" spans="1:22" ht="15.75">
      <c r="A3" s="1"/>
      <c r="B3" s="986" t="s">
        <v>3338</v>
      </c>
      <c r="C3" s="26"/>
      <c r="D3" s="1"/>
      <c r="E3" s="24"/>
      <c r="F3" s="24"/>
      <c r="G3" s="1192"/>
      <c r="H3" s="175"/>
      <c r="I3" s="175"/>
      <c r="J3" s="175"/>
      <c r="K3" s="175"/>
      <c r="L3" s="175"/>
      <c r="M3" s="175"/>
      <c r="N3" s="175"/>
      <c r="O3" s="175"/>
      <c r="P3" s="175"/>
      <c r="Q3" s="175"/>
      <c r="R3" s="194"/>
      <c r="S3" s="24"/>
      <c r="T3" s="24"/>
      <c r="U3" s="24"/>
      <c r="V3" s="24"/>
    </row>
    <row r="4" spans="1:22">
      <c r="A4" s="1"/>
      <c r="B4" s="1"/>
      <c r="C4" s="26"/>
      <c r="D4" s="1"/>
      <c r="E4" s="24"/>
      <c r="F4" s="24"/>
      <c r="G4" s="1192" t="s">
        <v>3365</v>
      </c>
      <c r="H4" s="175"/>
      <c r="I4" s="175"/>
      <c r="J4" s="175"/>
      <c r="K4" s="175"/>
      <c r="L4" s="175"/>
      <c r="M4" s="175"/>
      <c r="N4" s="175"/>
      <c r="O4" s="175"/>
      <c r="P4" s="175"/>
      <c r="Q4" s="175"/>
      <c r="R4" s="194"/>
      <c r="S4" s="24"/>
      <c r="T4" s="24"/>
      <c r="U4" s="24"/>
      <c r="V4" s="24"/>
    </row>
    <row r="5" spans="1:22">
      <c r="A5" s="1"/>
      <c r="B5" s="1"/>
      <c r="C5" s="26"/>
      <c r="D5" s="1"/>
      <c r="E5" s="24"/>
      <c r="F5" s="24"/>
      <c r="G5" s="1192"/>
      <c r="H5" s="175"/>
      <c r="I5" s="175"/>
      <c r="J5" s="175"/>
      <c r="K5" s="175"/>
      <c r="L5" s="175"/>
      <c r="M5" s="175"/>
      <c r="N5" s="175"/>
      <c r="O5" s="175"/>
      <c r="P5" s="175"/>
      <c r="Q5" s="175"/>
      <c r="R5" s="194"/>
      <c r="S5" s="24"/>
      <c r="T5" s="24"/>
      <c r="U5" s="24"/>
      <c r="V5" s="24"/>
    </row>
    <row r="6" spans="1:22">
      <c r="A6" s="1"/>
      <c r="B6" s="1"/>
      <c r="C6" s="26"/>
      <c r="D6" s="1"/>
      <c r="E6" s="24"/>
      <c r="F6" s="24"/>
      <c r="G6" s="1192" t="s">
        <v>3366</v>
      </c>
      <c r="H6" s="175"/>
      <c r="I6" s="175"/>
      <c r="J6" s="175"/>
      <c r="K6" s="175"/>
      <c r="L6" s="175"/>
      <c r="M6" s="175"/>
      <c r="N6" s="175"/>
      <c r="O6" s="175"/>
      <c r="P6" s="175"/>
      <c r="Q6" s="175"/>
      <c r="R6" s="194"/>
      <c r="S6" s="24"/>
      <c r="T6" s="24"/>
      <c r="U6" s="24"/>
      <c r="V6" s="24"/>
    </row>
    <row r="7" spans="1:22">
      <c r="A7" s="1"/>
      <c r="B7" s="1"/>
      <c r="C7" s="26"/>
      <c r="D7" s="1"/>
      <c r="E7" s="24"/>
      <c r="F7" s="24"/>
      <c r="G7" s="1192" t="s">
        <v>3367</v>
      </c>
      <c r="H7" s="175"/>
      <c r="I7" s="175"/>
      <c r="J7" s="175"/>
      <c r="K7" s="175"/>
      <c r="L7" s="175"/>
      <c r="M7" s="175"/>
      <c r="N7" s="175"/>
      <c r="O7" s="175"/>
      <c r="P7" s="175"/>
      <c r="Q7" s="175"/>
      <c r="R7" s="194"/>
      <c r="S7" s="24"/>
      <c r="T7" s="24"/>
      <c r="U7" s="24"/>
      <c r="V7" s="24"/>
    </row>
    <row r="8" spans="1:22">
      <c r="A8" s="1"/>
      <c r="B8" s="1"/>
      <c r="C8" s="26"/>
      <c r="D8" s="1"/>
      <c r="E8" s="24"/>
      <c r="F8" s="24"/>
      <c r="G8" s="1192"/>
      <c r="H8" s="1183"/>
      <c r="I8" s="1183"/>
      <c r="J8" s="1183"/>
      <c r="K8" s="1183"/>
      <c r="L8" s="1183"/>
      <c r="M8" s="1183"/>
      <c r="N8" s="1183"/>
      <c r="O8" s="175"/>
      <c r="P8" s="175"/>
      <c r="Q8" s="175"/>
      <c r="R8" s="194"/>
      <c r="S8" s="24"/>
      <c r="T8" s="24"/>
      <c r="U8" s="24"/>
      <c r="V8" s="24"/>
    </row>
    <row r="9" spans="1:22">
      <c r="A9" s="1"/>
      <c r="B9" s="1"/>
      <c r="C9" s="26"/>
      <c r="D9" s="1"/>
      <c r="E9" s="24"/>
      <c r="F9" s="24"/>
      <c r="G9" s="1192" t="s">
        <v>3368</v>
      </c>
      <c r="H9" s="197"/>
      <c r="I9" s="197"/>
      <c r="J9" s="197"/>
      <c r="K9" s="197"/>
      <c r="L9" s="197"/>
      <c r="M9" s="197"/>
      <c r="N9" s="197"/>
      <c r="O9" s="175"/>
      <c r="P9" s="175"/>
      <c r="Q9" s="175"/>
      <c r="R9" s="194"/>
      <c r="S9" s="24"/>
      <c r="T9" s="24"/>
      <c r="U9" s="24"/>
      <c r="V9" s="24"/>
    </row>
    <row r="10" spans="1:22">
      <c r="A10" s="1"/>
      <c r="B10" s="1"/>
      <c r="C10" s="26"/>
      <c r="D10" s="1"/>
      <c r="E10" s="24"/>
      <c r="F10" s="24"/>
      <c r="G10" s="1192"/>
      <c r="H10" s="1184"/>
      <c r="I10" s="1184"/>
      <c r="J10" s="1184"/>
      <c r="K10" s="1184"/>
      <c r="L10" s="1184"/>
      <c r="M10" s="1184"/>
      <c r="N10" s="1184"/>
      <c r="O10" s="175"/>
      <c r="P10" s="175"/>
      <c r="Q10" s="175"/>
      <c r="R10" s="194"/>
      <c r="S10" s="24"/>
      <c r="T10" s="24"/>
      <c r="U10" s="24"/>
      <c r="V10" s="24"/>
    </row>
    <row r="11" spans="1:22">
      <c r="A11" s="1"/>
      <c r="B11" s="1"/>
      <c r="C11" s="26"/>
      <c r="D11" s="1"/>
      <c r="E11" s="24"/>
      <c r="F11" s="24"/>
      <c r="G11" s="1192" t="s">
        <v>3369</v>
      </c>
      <c r="H11" s="175"/>
      <c r="I11" s="175"/>
      <c r="J11" s="175"/>
      <c r="K11" s="175"/>
      <c r="L11" s="175"/>
      <c r="M11" s="175"/>
      <c r="N11" s="175"/>
      <c r="O11" s="175"/>
      <c r="P11" s="175"/>
      <c r="Q11" s="175"/>
      <c r="R11" s="194"/>
      <c r="S11" s="24"/>
      <c r="T11" s="24"/>
      <c r="U11" s="24"/>
      <c r="V11" s="24"/>
    </row>
    <row r="12" spans="1:22">
      <c r="A12" s="1"/>
      <c r="B12" s="1"/>
      <c r="C12" s="26"/>
      <c r="D12" s="1"/>
      <c r="E12" s="24"/>
      <c r="F12" s="24"/>
      <c r="G12" s="1192"/>
      <c r="H12" s="175"/>
      <c r="I12" s="175"/>
      <c r="J12" s="175"/>
      <c r="K12" s="175"/>
      <c r="L12" s="175"/>
      <c r="M12" s="175"/>
      <c r="N12" s="175"/>
      <c r="O12" s="175"/>
      <c r="P12" s="175"/>
      <c r="Q12" s="175"/>
      <c r="R12" s="194"/>
      <c r="S12" s="24"/>
      <c r="T12" s="24"/>
      <c r="U12" s="24"/>
      <c r="V12" s="24"/>
    </row>
    <row r="13" spans="1:22">
      <c r="A13" s="1"/>
      <c r="B13" s="1"/>
      <c r="C13" s="26"/>
      <c r="D13" s="1"/>
      <c r="E13" s="24"/>
      <c r="F13" s="24"/>
      <c r="G13" s="1192" t="s">
        <v>3370</v>
      </c>
      <c r="H13" s="175"/>
      <c r="I13" s="175"/>
      <c r="J13" s="175"/>
      <c r="K13" s="175"/>
      <c r="L13" s="175"/>
      <c r="M13" s="175"/>
      <c r="N13" s="175"/>
      <c r="O13" s="175"/>
      <c r="P13" s="175"/>
      <c r="Q13" s="175"/>
      <c r="R13" s="194"/>
      <c r="S13" s="24"/>
      <c r="T13" s="24"/>
      <c r="U13" s="24"/>
      <c r="V13" s="24"/>
    </row>
    <row r="14" spans="1:22">
      <c r="A14" s="1"/>
      <c r="B14" s="1"/>
      <c r="C14" s="26"/>
      <c r="D14" s="1"/>
      <c r="E14" s="24"/>
      <c r="F14" s="24"/>
      <c r="G14" s="1192"/>
      <c r="H14" s="175"/>
      <c r="I14" s="175"/>
      <c r="J14" s="175"/>
      <c r="K14" s="175"/>
      <c r="L14" s="175"/>
      <c r="M14" s="175"/>
      <c r="N14" s="175"/>
      <c r="O14" s="175"/>
      <c r="P14" s="175"/>
      <c r="Q14" s="175"/>
      <c r="R14" s="194"/>
      <c r="S14" s="24"/>
      <c r="T14" s="24"/>
      <c r="U14" s="24"/>
      <c r="V14" s="24"/>
    </row>
    <row r="15" spans="1:22">
      <c r="A15" s="1"/>
      <c r="B15" s="1"/>
      <c r="C15" s="26"/>
      <c r="D15" s="1"/>
      <c r="E15" s="24"/>
      <c r="F15" s="24"/>
      <c r="G15" s="1193" t="s">
        <v>3371</v>
      </c>
      <c r="H15" s="175"/>
      <c r="I15" s="175"/>
      <c r="J15" s="175"/>
      <c r="K15" s="175"/>
      <c r="L15" s="175"/>
      <c r="M15" s="175"/>
      <c r="N15" s="175"/>
      <c r="O15" s="175"/>
      <c r="P15" s="175"/>
      <c r="Q15" s="175"/>
      <c r="R15" s="194"/>
      <c r="S15" s="24"/>
      <c r="T15" s="24"/>
      <c r="U15" s="24"/>
      <c r="V15" s="24"/>
    </row>
    <row r="16" spans="1:22">
      <c r="A16" s="1"/>
      <c r="B16" s="1"/>
      <c r="C16" s="26"/>
      <c r="D16" s="1"/>
      <c r="E16" s="24"/>
      <c r="F16" s="24"/>
      <c r="G16" s="1193" t="s">
        <v>3372</v>
      </c>
      <c r="H16" s="175"/>
      <c r="I16" s="175"/>
      <c r="J16" s="175"/>
      <c r="K16" s="175"/>
      <c r="L16" s="175"/>
      <c r="M16" s="175"/>
      <c r="N16" s="175"/>
      <c r="O16" s="175"/>
      <c r="P16" s="175"/>
      <c r="Q16" s="175"/>
      <c r="R16" s="194"/>
      <c r="S16" s="24"/>
      <c r="T16" s="24"/>
      <c r="U16" s="24"/>
      <c r="V16" s="24"/>
    </row>
    <row r="17" spans="2:22" s="1" customFormat="1">
      <c r="C17" s="26"/>
      <c r="E17" s="24"/>
      <c r="F17" s="24"/>
      <c r="G17" s="1193" t="s">
        <v>3344</v>
      </c>
      <c r="H17" s="175"/>
      <c r="I17" s="175"/>
      <c r="J17" s="175"/>
      <c r="K17" s="175"/>
      <c r="L17" s="175"/>
      <c r="M17" s="175"/>
      <c r="N17" s="175"/>
      <c r="O17" s="175"/>
      <c r="P17" s="175"/>
      <c r="Q17" s="175"/>
      <c r="R17" s="194"/>
      <c r="S17" s="24"/>
      <c r="T17" s="24"/>
      <c r="U17" s="24"/>
      <c r="V17" s="24"/>
    </row>
    <row r="18" spans="2:22" s="1" customFormat="1">
      <c r="C18" s="26"/>
      <c r="E18" s="24"/>
      <c r="F18" s="24"/>
      <c r="G18" s="1192"/>
      <c r="H18" s="175"/>
      <c r="I18" s="175"/>
      <c r="J18" s="175"/>
      <c r="K18" s="175"/>
      <c r="L18" s="175"/>
      <c r="M18" s="175"/>
      <c r="N18" s="175"/>
      <c r="O18" s="175"/>
      <c r="P18" s="175"/>
      <c r="Q18" s="175"/>
      <c r="R18" s="194"/>
      <c r="S18" s="24"/>
      <c r="T18" s="24"/>
      <c r="U18" s="24"/>
      <c r="V18" s="24"/>
    </row>
    <row r="19" spans="2:22" s="1" customFormat="1">
      <c r="C19" s="26"/>
      <c r="E19" s="24"/>
      <c r="F19" s="24"/>
      <c r="G19" s="1193" t="s">
        <v>3373</v>
      </c>
      <c r="H19" s="175"/>
      <c r="I19" s="175"/>
      <c r="J19" s="175"/>
      <c r="K19" s="175"/>
      <c r="L19" s="175"/>
      <c r="M19" s="175"/>
      <c r="N19" s="175"/>
      <c r="O19" s="175"/>
      <c r="P19" s="175"/>
      <c r="Q19" s="175"/>
      <c r="R19" s="194"/>
      <c r="S19" s="24"/>
      <c r="T19" s="24"/>
      <c r="U19" s="24"/>
      <c r="V19" s="24"/>
    </row>
    <row r="20" spans="2:22" s="1" customFormat="1">
      <c r="C20" s="26"/>
      <c r="E20" s="24"/>
      <c r="F20" s="24"/>
      <c r="G20" s="1193" t="s">
        <v>3374</v>
      </c>
      <c r="H20" s="175"/>
      <c r="I20" s="175"/>
      <c r="J20" s="175"/>
      <c r="K20" s="175"/>
      <c r="L20" s="175"/>
      <c r="M20" s="175"/>
      <c r="N20" s="175"/>
      <c r="O20" s="175"/>
      <c r="P20" s="175"/>
      <c r="Q20" s="175"/>
      <c r="R20" s="194"/>
      <c r="S20" s="24"/>
      <c r="T20" s="24"/>
      <c r="U20" s="24"/>
      <c r="V20" s="24"/>
    </row>
    <row r="21" spans="2:22" s="1" customFormat="1">
      <c r="C21" s="26"/>
      <c r="E21" s="24"/>
      <c r="F21" s="24"/>
      <c r="G21" s="1193" t="s">
        <v>3375</v>
      </c>
      <c r="H21" s="175"/>
      <c r="I21" s="175"/>
      <c r="J21" s="175"/>
      <c r="K21" s="175"/>
      <c r="L21" s="175"/>
      <c r="M21" s="175"/>
      <c r="N21" s="175"/>
      <c r="O21" s="175"/>
      <c r="P21" s="175"/>
      <c r="Q21" s="175"/>
      <c r="R21" s="194"/>
      <c r="S21" s="24"/>
      <c r="T21" s="24"/>
      <c r="U21" s="24"/>
      <c r="V21" s="24"/>
    </row>
    <row r="22" spans="2:22" s="1" customFormat="1">
      <c r="C22" s="26"/>
      <c r="E22" s="24"/>
      <c r="F22" s="24"/>
      <c r="G22" s="1194" t="s">
        <v>3376</v>
      </c>
      <c r="H22" s="206"/>
      <c r="I22" s="206"/>
      <c r="J22" s="206"/>
      <c r="K22" s="206"/>
      <c r="L22" s="206"/>
      <c r="M22" s="206"/>
      <c r="N22" s="206"/>
      <c r="O22" s="206"/>
      <c r="P22" s="206"/>
      <c r="Q22" s="206"/>
      <c r="R22" s="207"/>
      <c r="S22" s="24"/>
      <c r="T22" s="24"/>
      <c r="U22" s="24"/>
      <c r="V22" s="24"/>
    </row>
    <row r="23" spans="2:22" s="1" customFormat="1">
      <c r="C23" s="26"/>
      <c r="O23" s="24"/>
      <c r="P23" s="24"/>
      <c r="Q23" s="24"/>
      <c r="R23" s="24"/>
      <c r="S23" s="24"/>
      <c r="T23" s="24"/>
      <c r="U23" s="24"/>
      <c r="V23" s="24"/>
    </row>
    <row r="24" spans="2:22" s="1" customFormat="1">
      <c r="C24" s="26"/>
      <c r="O24" s="24"/>
      <c r="P24" s="24"/>
      <c r="Q24" s="24"/>
      <c r="R24" s="24"/>
      <c r="S24" s="24"/>
      <c r="T24" s="24"/>
      <c r="U24" s="24"/>
      <c r="V24" s="24"/>
    </row>
    <row r="25" spans="2:22" s="1" customFormat="1">
      <c r="B25" s="1" t="s">
        <v>3357</v>
      </c>
      <c r="C25" s="26"/>
      <c r="O25" s="24"/>
      <c r="P25" s="24"/>
      <c r="Q25" s="24"/>
      <c r="R25" s="24"/>
      <c r="S25" s="24"/>
      <c r="T25" s="24"/>
      <c r="U25" s="24"/>
      <c r="V25" s="24"/>
    </row>
    <row r="26" spans="2:22" s="1" customFormat="1">
      <c r="B26" s="1" t="s">
        <v>3358</v>
      </c>
      <c r="C26" s="26"/>
      <c r="O26" s="24"/>
      <c r="P26" s="24"/>
      <c r="Q26" s="24"/>
      <c r="R26" s="24"/>
      <c r="S26" s="24"/>
      <c r="T26" s="24"/>
      <c r="U26" s="24"/>
      <c r="V26" s="24"/>
    </row>
    <row r="27" spans="2:22" s="1" customFormat="1">
      <c r="B27" s="1" t="s">
        <v>3359</v>
      </c>
      <c r="C27" s="26"/>
      <c r="O27" s="24"/>
      <c r="P27" s="24"/>
      <c r="Q27" s="24"/>
      <c r="R27" s="24"/>
      <c r="S27" s="24"/>
      <c r="T27" s="24"/>
      <c r="U27" s="24"/>
      <c r="V27" s="24"/>
    </row>
    <row r="28" spans="2:22" s="1" customFormat="1">
      <c r="B28" s="1" t="s">
        <v>3360</v>
      </c>
      <c r="C28" s="26"/>
      <c r="O28" s="24"/>
      <c r="P28" s="24"/>
      <c r="Q28" s="24"/>
      <c r="R28" s="24"/>
      <c r="S28" s="24"/>
      <c r="T28" s="24"/>
      <c r="U28" s="24"/>
      <c r="V28" s="24"/>
    </row>
    <row r="29" spans="2:22" s="1" customFormat="1">
      <c r="B29" s="1" t="s">
        <v>3361</v>
      </c>
      <c r="C29" s="26"/>
      <c r="O29" s="24"/>
      <c r="P29" s="24"/>
      <c r="Q29" s="24"/>
      <c r="R29" s="24"/>
      <c r="S29" s="24"/>
      <c r="T29" s="24"/>
      <c r="U29" s="24"/>
      <c r="V29" s="24"/>
    </row>
    <row r="30" spans="2:22" s="1" customFormat="1">
      <c r="B30" s="1" t="s">
        <v>3362</v>
      </c>
      <c r="C30" s="26"/>
      <c r="O30" s="24"/>
      <c r="P30" s="24"/>
      <c r="Q30" s="24"/>
      <c r="R30" s="24"/>
      <c r="S30" s="24"/>
      <c r="T30" s="24"/>
      <c r="U30" s="24"/>
      <c r="V30" s="24"/>
    </row>
    <row r="31" spans="2:22" s="1" customFormat="1">
      <c r="B31" s="1" t="s">
        <v>3363</v>
      </c>
      <c r="C31" s="26"/>
      <c r="O31" s="24"/>
      <c r="P31" s="24"/>
      <c r="Q31" s="24"/>
      <c r="R31" s="24"/>
      <c r="S31" s="24"/>
      <c r="T31" s="24"/>
      <c r="U31" s="24"/>
      <c r="V31" s="24"/>
    </row>
    <row r="32" spans="2:22" s="1" customFormat="1">
      <c r="C32" s="26"/>
      <c r="O32" s="24"/>
      <c r="P32" s="24"/>
      <c r="Q32" s="24"/>
      <c r="R32" s="24"/>
      <c r="S32" s="24"/>
      <c r="T32" s="24"/>
      <c r="U32" s="24"/>
      <c r="V32" s="24"/>
    </row>
    <row r="33" spans="2:22" s="1" customFormat="1">
      <c r="C33" s="26"/>
      <c r="O33" s="24"/>
      <c r="P33" s="24"/>
      <c r="Q33" s="24"/>
      <c r="R33" s="24"/>
      <c r="S33" s="24"/>
      <c r="T33" s="24"/>
      <c r="U33" s="24"/>
      <c r="V33" s="24"/>
    </row>
    <row r="34" spans="2:22" s="1" customFormat="1">
      <c r="B34" s="1" t="s">
        <v>1773</v>
      </c>
      <c r="C34" s="636">
        <v>100</v>
      </c>
      <c r="D34" s="1" t="s">
        <v>344</v>
      </c>
      <c r="O34" s="24"/>
      <c r="P34" s="24"/>
      <c r="Q34" s="24"/>
      <c r="R34" s="24"/>
      <c r="S34" s="24"/>
      <c r="T34" s="24"/>
      <c r="U34" s="24"/>
      <c r="V34" s="24"/>
    </row>
    <row r="35" spans="2:22" s="1" customFormat="1">
      <c r="B35" s="1" t="s">
        <v>3339</v>
      </c>
      <c r="C35" s="636">
        <v>1698</v>
      </c>
      <c r="D35" s="1" t="s">
        <v>344</v>
      </c>
      <c r="O35" s="24"/>
      <c r="P35" s="24"/>
      <c r="Q35" s="24"/>
      <c r="R35" s="24"/>
      <c r="S35" s="24"/>
      <c r="T35" s="24"/>
      <c r="U35" s="24"/>
      <c r="V35" s="24"/>
    </row>
    <row r="36" spans="2:22" s="1" customFormat="1">
      <c r="B36" s="1" t="s">
        <v>3341</v>
      </c>
      <c r="C36" s="636">
        <v>4000</v>
      </c>
      <c r="D36" s="1" t="s">
        <v>344</v>
      </c>
      <c r="O36" s="24"/>
      <c r="P36" s="24"/>
      <c r="Q36" s="24"/>
      <c r="R36" s="24"/>
      <c r="S36" s="24"/>
      <c r="T36" s="24"/>
      <c r="U36" s="24"/>
      <c r="V36" s="24"/>
    </row>
    <row r="37" spans="2:22" s="1" customFormat="1">
      <c r="B37" s="1" t="s">
        <v>4635</v>
      </c>
      <c r="C37" s="636">
        <v>0.03</v>
      </c>
      <c r="D37" s="1" t="s">
        <v>344</v>
      </c>
      <c r="E37" s="1" t="s">
        <v>4636</v>
      </c>
      <c r="O37" s="24"/>
      <c r="P37" s="24"/>
      <c r="Q37" s="24"/>
      <c r="R37" s="24"/>
      <c r="S37" s="24"/>
      <c r="T37" s="24"/>
      <c r="U37" s="24"/>
      <c r="V37" s="24"/>
    </row>
    <row r="38" spans="2:22" s="1" customFormat="1">
      <c r="C38" s="26"/>
      <c r="O38" s="24"/>
      <c r="P38" s="24"/>
      <c r="Q38" s="24"/>
      <c r="R38" s="24"/>
      <c r="S38" s="24"/>
      <c r="T38" s="24"/>
      <c r="U38" s="24"/>
      <c r="V38" s="24"/>
    </row>
    <row r="39" spans="2:22" s="1" customFormat="1">
      <c r="B39" s="3" t="s">
        <v>124</v>
      </c>
      <c r="C39" s="77">
        <f>(C34^2*(C36-C35))/(2*C37*C35*C36)</f>
        <v>56.488025127601098</v>
      </c>
      <c r="E39" s="1" t="s">
        <v>3369</v>
      </c>
      <c r="O39" s="24"/>
      <c r="P39" s="24"/>
      <c r="Q39" s="24"/>
      <c r="R39" s="24"/>
      <c r="S39" s="24"/>
      <c r="T39" s="24"/>
      <c r="U39" s="24"/>
      <c r="V39" s="24"/>
    </row>
    <row r="40" spans="2:22" s="1" customFormat="1">
      <c r="C40" s="26"/>
      <c r="O40" s="24"/>
      <c r="P40" s="24"/>
      <c r="Q40" s="24"/>
      <c r="R40" s="24"/>
      <c r="S40" s="24"/>
      <c r="T40" s="24"/>
      <c r="U40" s="24"/>
      <c r="V40" s="24"/>
    </row>
    <row r="41" spans="2:22" s="1" customFormat="1">
      <c r="B41" s="3" t="s">
        <v>3378</v>
      </c>
      <c r="C41" s="77">
        <f>(2*C35*C36)/(C35+C36)</f>
        <v>2383.994383994384</v>
      </c>
      <c r="D41" s="3" t="s">
        <v>344</v>
      </c>
      <c r="E41" s="1" t="s">
        <v>3370</v>
      </c>
      <c r="O41" s="24"/>
      <c r="P41" s="24"/>
      <c r="Q41" s="24"/>
      <c r="R41" s="24"/>
      <c r="S41" s="24"/>
      <c r="T41" s="24"/>
      <c r="U41" s="24"/>
      <c r="V41" s="24"/>
    </row>
    <row r="42" spans="2:22" s="1" customFormat="1">
      <c r="C42" s="632">
        <f>C41/1000</f>
        <v>2.3839943839943838</v>
      </c>
      <c r="D42" s="3" t="s">
        <v>68</v>
      </c>
      <c r="O42" s="24"/>
      <c r="P42" s="24"/>
      <c r="Q42" s="24"/>
      <c r="R42" s="24"/>
      <c r="S42" s="24"/>
      <c r="T42" s="24"/>
      <c r="U42" s="24"/>
      <c r="V42" s="24"/>
    </row>
    <row r="43" spans="2:22" s="1" customFormat="1">
      <c r="C43" s="26"/>
      <c r="O43" s="24"/>
      <c r="P43" s="24"/>
      <c r="Q43" s="24"/>
      <c r="R43" s="24"/>
      <c r="S43" s="24"/>
      <c r="T43" s="24"/>
      <c r="U43" s="24"/>
      <c r="V43" s="24"/>
    </row>
    <row r="44" spans="2:22" s="1" customFormat="1">
      <c r="O44" s="24"/>
      <c r="P44" s="24"/>
      <c r="Q44" s="24"/>
      <c r="R44" s="24"/>
      <c r="S44" s="24"/>
      <c r="T44" s="24"/>
      <c r="U44" s="24"/>
      <c r="V44" s="24"/>
    </row>
    <row r="45" spans="2:22" s="1" customFormat="1">
      <c r="C45" s="26"/>
      <c r="H45" s="24"/>
      <c r="I45" s="24"/>
      <c r="J45" s="24"/>
      <c r="K45" s="24"/>
      <c r="L45" s="24"/>
      <c r="M45" s="24"/>
      <c r="N45" s="24"/>
      <c r="O45" s="24"/>
      <c r="P45" s="24"/>
      <c r="Q45" s="24"/>
      <c r="R45" s="24"/>
      <c r="S45" s="24"/>
      <c r="T45" s="24"/>
      <c r="U45" s="24"/>
      <c r="V45" s="24"/>
    </row>
    <row r="46" spans="2:22" s="1" customFormat="1">
      <c r="C46" s="26"/>
      <c r="H46" s="24"/>
      <c r="I46" s="24"/>
      <c r="J46" s="24"/>
      <c r="K46" s="24"/>
      <c r="L46" s="24"/>
      <c r="M46" s="24"/>
      <c r="N46" s="24"/>
      <c r="O46" s="24"/>
      <c r="P46" s="24"/>
      <c r="Q46" s="24"/>
      <c r="R46" s="24"/>
      <c r="S46" s="24"/>
      <c r="T46" s="24"/>
      <c r="U46" s="24"/>
      <c r="V46" s="24"/>
    </row>
    <row r="47" spans="2:22" s="1" customFormat="1">
      <c r="C47" s="26"/>
      <c r="H47" s="24"/>
      <c r="I47" s="24"/>
      <c r="J47" s="24"/>
      <c r="K47" s="24"/>
      <c r="L47" s="24"/>
      <c r="M47" s="24"/>
      <c r="N47" s="24"/>
      <c r="O47" s="24"/>
      <c r="P47" s="24"/>
      <c r="Q47" s="24"/>
      <c r="R47" s="24"/>
      <c r="S47" s="24"/>
      <c r="T47" s="24"/>
      <c r="U47" s="24"/>
      <c r="V47" s="24"/>
    </row>
    <row r="48" spans="2:22" s="1" customFormat="1">
      <c r="C48" s="26"/>
      <c r="H48" s="24"/>
      <c r="I48" s="24"/>
      <c r="J48" s="24"/>
      <c r="K48" s="24"/>
      <c r="L48" s="24"/>
      <c r="M48" s="24"/>
      <c r="N48" s="24"/>
      <c r="O48" s="24"/>
      <c r="P48" s="24"/>
      <c r="Q48" s="24"/>
      <c r="R48" s="24"/>
      <c r="S48" s="24"/>
      <c r="T48" s="24"/>
      <c r="U48" s="24"/>
      <c r="V48" s="24"/>
    </row>
    <row r="49" spans="2:22" s="1" customFormat="1">
      <c r="C49" s="26"/>
      <c r="H49" s="24"/>
      <c r="I49" s="24"/>
      <c r="J49" s="24"/>
      <c r="K49" s="24"/>
      <c r="L49" s="24"/>
      <c r="M49" s="24"/>
      <c r="N49" s="24"/>
      <c r="O49" s="24"/>
      <c r="P49" s="24"/>
      <c r="Q49" s="24"/>
      <c r="R49" s="24"/>
      <c r="S49" s="24"/>
      <c r="T49" s="24"/>
      <c r="U49" s="24"/>
      <c r="V49" s="24"/>
    </row>
    <row r="50" spans="2:22" s="1" customFormat="1">
      <c r="B50" s="1" t="s">
        <v>3379</v>
      </c>
      <c r="C50" s="26"/>
      <c r="H50" s="24"/>
      <c r="I50" s="24"/>
      <c r="J50" s="24"/>
      <c r="K50" s="24"/>
      <c r="L50" s="24"/>
      <c r="M50" s="24"/>
      <c r="N50" s="24"/>
      <c r="O50" s="24"/>
      <c r="P50" s="24"/>
      <c r="Q50" s="24"/>
      <c r="R50" s="24"/>
      <c r="S50" s="24"/>
      <c r="T50" s="24"/>
      <c r="U50" s="24"/>
      <c r="V50" s="24"/>
    </row>
    <row r="51" spans="2:22" s="1" customFormat="1">
      <c r="B51" s="1" t="s">
        <v>3380</v>
      </c>
      <c r="C51" s="26"/>
      <c r="H51" s="24"/>
      <c r="I51" s="24"/>
      <c r="J51" s="24"/>
      <c r="K51" s="24"/>
      <c r="L51" s="24"/>
      <c r="M51" s="24"/>
      <c r="N51" s="24"/>
      <c r="O51" s="24"/>
      <c r="P51" s="24"/>
      <c r="Q51" s="24"/>
      <c r="R51" s="24"/>
      <c r="S51" s="24"/>
      <c r="T51" s="24"/>
      <c r="U51" s="24"/>
      <c r="V51" s="24"/>
    </row>
    <row r="52" spans="2:22" s="1" customFormat="1">
      <c r="B52" s="1" t="s">
        <v>3381</v>
      </c>
      <c r="C52" s="26"/>
      <c r="H52" s="24"/>
      <c r="I52" s="24"/>
      <c r="J52" s="24"/>
      <c r="K52" s="24"/>
      <c r="L52" s="24"/>
      <c r="M52" s="24"/>
      <c r="N52" s="24"/>
      <c r="O52" s="24"/>
      <c r="P52" s="24"/>
      <c r="Q52" s="24"/>
      <c r="R52" s="24"/>
      <c r="S52" s="24"/>
      <c r="T52" s="24"/>
      <c r="U52" s="24"/>
      <c r="V52" s="24"/>
    </row>
    <row r="53" spans="2:22" s="1" customFormat="1">
      <c r="B53" s="1" t="s">
        <v>3382</v>
      </c>
      <c r="C53" s="26"/>
      <c r="H53" s="24"/>
      <c r="I53" s="24"/>
      <c r="J53" s="24"/>
      <c r="K53" s="24"/>
      <c r="L53" s="24"/>
      <c r="M53" s="24"/>
      <c r="N53" s="24"/>
      <c r="O53" s="24"/>
      <c r="P53" s="24"/>
      <c r="Q53" s="24"/>
      <c r="R53" s="24"/>
      <c r="S53" s="24"/>
      <c r="T53" s="24"/>
      <c r="U53" s="24"/>
      <c r="V53" s="24"/>
    </row>
    <row r="54" spans="2:22" s="1" customFormat="1">
      <c r="B54" s="1" t="s">
        <v>3383</v>
      </c>
      <c r="C54" s="26"/>
      <c r="H54" s="24"/>
      <c r="I54" s="24"/>
      <c r="J54" s="24"/>
      <c r="K54" s="24"/>
      <c r="L54" s="24"/>
      <c r="M54" s="24"/>
      <c r="N54" s="24"/>
      <c r="O54" s="24"/>
      <c r="P54" s="24"/>
      <c r="Q54" s="24"/>
      <c r="R54" s="24"/>
      <c r="S54" s="24"/>
      <c r="T54" s="24"/>
      <c r="U54" s="24"/>
      <c r="V54" s="24"/>
    </row>
    <row r="55" spans="2:22" s="24" customFormat="1">
      <c r="B55" s="24" t="s">
        <v>3384</v>
      </c>
      <c r="C55" s="346"/>
    </row>
    <row r="56" spans="2:22" s="24" customFormat="1">
      <c r="B56" s="24" t="s">
        <v>3385</v>
      </c>
      <c r="C56" s="346"/>
    </row>
    <row r="57" spans="2:22" s="24" customFormat="1">
      <c r="C57" s="346"/>
    </row>
    <row r="58" spans="2:22" s="24" customFormat="1">
      <c r="B58" s="24" t="s">
        <v>3386</v>
      </c>
      <c r="C58" s="346"/>
    </row>
    <row r="59" spans="2:22" s="24" customFormat="1">
      <c r="B59" s="24" t="s">
        <v>3387</v>
      </c>
    </row>
    <row r="60" spans="2:22" s="24" customFormat="1">
      <c r="B60" s="27" t="s">
        <v>3388</v>
      </c>
    </row>
    <row r="61" spans="2:22" s="24" customFormat="1">
      <c r="C61" s="346"/>
    </row>
    <row r="62" spans="2:22" s="24" customFormat="1">
      <c r="B62" s="29" t="s">
        <v>3389</v>
      </c>
      <c r="C62" s="1185">
        <v>36</v>
      </c>
      <c r="D62" s="1186" t="s">
        <v>344</v>
      </c>
      <c r="E62" s="1185">
        <v>120</v>
      </c>
      <c r="F62" s="1186" t="s">
        <v>344</v>
      </c>
    </row>
    <row r="63" spans="2:22" s="24" customFormat="1"/>
    <row r="64" spans="2:22" s="24" customFormat="1">
      <c r="B64" s="29" t="s">
        <v>1773</v>
      </c>
      <c r="C64" s="1185">
        <v>50</v>
      </c>
      <c r="D64" s="1186">
        <f>D91</f>
        <v>50</v>
      </c>
      <c r="E64" s="924">
        <f>C64*E62/C62</f>
        <v>166.66666666666666</v>
      </c>
      <c r="F64" s="1186" t="str">
        <f>B107</f>
        <v>Brennweite</v>
      </c>
      <c r="G64" s="24" t="s">
        <v>3402</v>
      </c>
    </row>
    <row r="65" spans="2:14" s="24" customFormat="1">
      <c r="B65" s="37" t="s">
        <v>3390</v>
      </c>
      <c r="C65" s="1187">
        <v>0.03</v>
      </c>
      <c r="D65" s="24">
        <f>D93</f>
        <v>0.03</v>
      </c>
      <c r="E65" s="1188">
        <f>C65*E62/C62</f>
        <v>9.9999999999999992E-2</v>
      </c>
      <c r="F65" s="24" t="str">
        <f>B109</f>
        <v>Schärfetoleranz/Unschärfekreis</v>
      </c>
      <c r="G65" s="24" t="s">
        <v>3401</v>
      </c>
    </row>
    <row r="66" spans="2:14" s="24" customFormat="1">
      <c r="B66" s="29" t="s">
        <v>3391</v>
      </c>
      <c r="C66" s="1187">
        <v>3000</v>
      </c>
      <c r="D66" s="1186">
        <f>D93</f>
        <v>0.03</v>
      </c>
      <c r="E66" s="346">
        <f>C66</f>
        <v>3000</v>
      </c>
      <c r="F66" s="1186" t="str">
        <f>B109</f>
        <v>Schärfetoleranz/Unschärfekreis</v>
      </c>
    </row>
    <row r="67" spans="2:14" s="24" customFormat="1">
      <c r="B67" s="37" t="s">
        <v>3392</v>
      </c>
      <c r="C67" s="1187">
        <v>5000</v>
      </c>
      <c r="D67" s="1186">
        <f>D94</f>
        <v>3000</v>
      </c>
      <c r="E67" s="346">
        <f>C67</f>
        <v>5000</v>
      </c>
      <c r="F67" s="1186" t="str">
        <f>B110</f>
        <v>Aufnahmeabstand</v>
      </c>
    </row>
    <row r="68" spans="2:14" s="24" customFormat="1">
      <c r="B68" s="37" t="s">
        <v>3393</v>
      </c>
      <c r="C68" s="346">
        <f>C67-C66</f>
        <v>2000</v>
      </c>
      <c r="D68" s="62" t="s">
        <v>344</v>
      </c>
      <c r="E68" s="346">
        <f>E67-E66</f>
        <v>2000</v>
      </c>
      <c r="F68" s="1186" t="s">
        <v>344</v>
      </c>
    </row>
    <row r="69" spans="2:14" s="24" customFormat="1">
      <c r="F69" s="62"/>
    </row>
    <row r="70" spans="2:14" s="24" customFormat="1">
      <c r="B70" s="607" t="s">
        <v>1409</v>
      </c>
      <c r="C70" s="925">
        <f>(C64^2*(C67-C66))/(2*C65*C66*C67)</f>
        <v>5.5555555555555554</v>
      </c>
      <c r="D70" s="345"/>
      <c r="E70" s="925">
        <f>(E64^2*(E67-E66))/(2*E65*E66*E67)</f>
        <v>18.518518518518515</v>
      </c>
      <c r="F70" s="62"/>
    </row>
    <row r="71" spans="2:14" s="24" customFormat="1">
      <c r="B71" s="37"/>
      <c r="C71" s="346"/>
      <c r="D71" s="62"/>
      <c r="F71" s="62"/>
    </row>
    <row r="72" spans="2:14" s="24" customFormat="1">
      <c r="B72" s="37" t="s">
        <v>3394</v>
      </c>
      <c r="C72" s="346">
        <v>1</v>
      </c>
      <c r="D72" s="346" t="s">
        <v>2497</v>
      </c>
      <c r="E72" s="346">
        <f>E64/C64</f>
        <v>3.333333333333333</v>
      </c>
      <c r="F72" s="62"/>
    </row>
    <row r="73" spans="2:14" s="24" customFormat="1">
      <c r="B73" s="37" t="s">
        <v>3395</v>
      </c>
      <c r="C73" s="346">
        <v>1</v>
      </c>
      <c r="D73" s="346" t="s">
        <v>2497</v>
      </c>
      <c r="E73" s="346">
        <f>E70/C70</f>
        <v>3.333333333333333</v>
      </c>
    </row>
    <row r="74" spans="2:14" s="24" customFormat="1">
      <c r="C74" s="346"/>
    </row>
    <row r="75" spans="2:14" s="24" customFormat="1">
      <c r="B75" s="24" t="s">
        <v>160</v>
      </c>
      <c r="C75" s="346"/>
    </row>
    <row r="76" spans="2:14" s="24" customFormat="1">
      <c r="B76" s="65" t="s">
        <v>3396</v>
      </c>
      <c r="C76" s="346"/>
    </row>
    <row r="77" spans="2:14" s="24" customFormat="1">
      <c r="B77" s="65" t="s">
        <v>3397</v>
      </c>
      <c r="C77" s="346"/>
      <c r="K77" s="1609" t="s">
        <v>4637</v>
      </c>
      <c r="L77" s="1190"/>
      <c r="M77" s="1190"/>
      <c r="N77" s="1191"/>
    </row>
    <row r="78" spans="2:14" s="24" customFormat="1">
      <c r="B78" s="65"/>
      <c r="C78" s="346"/>
      <c r="K78" s="204"/>
      <c r="L78" s="175"/>
      <c r="M78" s="175"/>
      <c r="N78" s="1616" t="s">
        <v>4646</v>
      </c>
    </row>
    <row r="79" spans="2:14" s="24" customFormat="1">
      <c r="C79" s="346"/>
      <c r="K79" s="1610" t="s">
        <v>4638</v>
      </c>
      <c r="L79" s="185" t="s">
        <v>2574</v>
      </c>
      <c r="M79" s="185" t="s">
        <v>4644</v>
      </c>
      <c r="N79" s="1616" t="s">
        <v>4645</v>
      </c>
    </row>
    <row r="80" spans="2:14" s="24" customFormat="1">
      <c r="B80" s="65" t="s">
        <v>4647</v>
      </c>
      <c r="C80" s="346"/>
      <c r="K80" s="24" t="s">
        <v>4652</v>
      </c>
      <c r="L80" s="1611">
        <f>SQRT(56^2+56^2)</f>
        <v>79.195959492893323</v>
      </c>
      <c r="M80" s="924">
        <f>L81/L80</f>
        <v>0.54632351931351275</v>
      </c>
      <c r="N80" s="1617">
        <f>N81/M80</f>
        <v>5.491251783869152E-2</v>
      </c>
    </row>
    <row r="81" spans="2:19" s="24" customFormat="1">
      <c r="B81" s="24" t="s">
        <v>4648</v>
      </c>
      <c r="K81" s="1192" t="s">
        <v>4639</v>
      </c>
      <c r="L81" s="1611">
        <f>SQRT(24^2+36^2)</f>
        <v>43.266615305567875</v>
      </c>
      <c r="M81" s="1626">
        <v>1</v>
      </c>
      <c r="N81" s="1627">
        <v>0.03</v>
      </c>
    </row>
    <row r="82" spans="2:19" s="24" customFormat="1">
      <c r="B82" s="24" t="s">
        <v>4649</v>
      </c>
      <c r="K82" s="1192" t="s">
        <v>4641</v>
      </c>
      <c r="L82" s="1611">
        <f>SQRT(22.2^2+14.8^2)</f>
        <v>26.681079438433521</v>
      </c>
      <c r="M82" s="1612">
        <f>L81/L82</f>
        <v>1.6216216216216217</v>
      </c>
      <c r="N82" s="1617">
        <f>N81/M82</f>
        <v>1.8499999999999999E-2</v>
      </c>
    </row>
    <row r="83" spans="2:19" s="24" customFormat="1">
      <c r="B83" s="24" t="s">
        <v>3403</v>
      </c>
      <c r="K83" s="1192" t="s">
        <v>4642</v>
      </c>
      <c r="L83" s="1611">
        <f>SQRT(17.3^2+13^2)</f>
        <v>21.640009242142206</v>
      </c>
      <c r="M83" s="1612">
        <f>L81/L83</f>
        <v>1.9993806297138526</v>
      </c>
      <c r="N83" s="1617">
        <f>N81/M83</f>
        <v>1.5004646716165066E-2</v>
      </c>
    </row>
    <row r="84" spans="2:19" s="24" customFormat="1">
      <c r="K84" s="1613" t="s">
        <v>4643</v>
      </c>
      <c r="L84" s="1614">
        <f>SQRT(13.2^2+8.8^2)</f>
        <v>15.864425612041552</v>
      </c>
      <c r="M84" s="1615">
        <f>L81/L84</f>
        <v>2.7272727272727275</v>
      </c>
      <c r="N84" s="1618">
        <f>N81/M84</f>
        <v>1.0999999999999999E-2</v>
      </c>
    </row>
    <row r="85" spans="2:19" s="24" customFormat="1"/>
    <row r="86" spans="2:19" s="24" customFormat="1"/>
    <row r="87" spans="2:19" s="24" customFormat="1">
      <c r="B87" s="607" t="s">
        <v>3399</v>
      </c>
      <c r="S87" s="24" t="s">
        <v>4640</v>
      </c>
    </row>
    <row r="88" spans="2:19" s="24" customFormat="1"/>
    <row r="89" spans="2:19" s="24" customFormat="1">
      <c r="B89" s="37" t="s">
        <v>224</v>
      </c>
      <c r="C89" s="1619">
        <v>36</v>
      </c>
      <c r="D89" s="1619">
        <v>36</v>
      </c>
      <c r="E89" s="1619">
        <v>36</v>
      </c>
      <c r="F89" s="1619">
        <v>36</v>
      </c>
      <c r="G89" s="1619">
        <v>36</v>
      </c>
      <c r="H89" s="1619">
        <v>36</v>
      </c>
      <c r="I89" s="1619">
        <v>36</v>
      </c>
      <c r="J89" s="1619">
        <v>36</v>
      </c>
    </row>
    <row r="90" spans="2:19" s="24" customFormat="1">
      <c r="B90" s="37" t="s">
        <v>225</v>
      </c>
      <c r="C90" s="1619">
        <v>24</v>
      </c>
      <c r="D90" s="1619">
        <v>24</v>
      </c>
      <c r="E90" s="1619">
        <v>24</v>
      </c>
      <c r="F90" s="1619">
        <v>24</v>
      </c>
      <c r="G90" s="1619">
        <v>24</v>
      </c>
      <c r="H90" s="1619">
        <v>24</v>
      </c>
      <c r="I90" s="1619">
        <v>24</v>
      </c>
      <c r="J90" s="1619">
        <v>24</v>
      </c>
    </row>
    <row r="91" spans="2:19" s="24" customFormat="1">
      <c r="B91" s="29" t="s">
        <v>1773</v>
      </c>
      <c r="C91" s="1619">
        <v>50</v>
      </c>
      <c r="D91" s="1619">
        <v>50</v>
      </c>
      <c r="E91" s="1619">
        <v>50</v>
      </c>
      <c r="F91" s="1619">
        <v>50</v>
      </c>
      <c r="G91" s="1619">
        <v>50</v>
      </c>
      <c r="H91" s="1619">
        <v>50</v>
      </c>
      <c r="I91" s="1619">
        <v>50</v>
      </c>
      <c r="J91" s="1619">
        <v>50</v>
      </c>
    </row>
    <row r="92" spans="2:19" s="24" customFormat="1">
      <c r="B92" s="29" t="s">
        <v>124</v>
      </c>
      <c r="C92" s="1187">
        <v>2</v>
      </c>
      <c r="D92" s="1620">
        <f>C92*SQRT(2)</f>
        <v>2.8284271247461903</v>
      </c>
      <c r="E92" s="1620">
        <f t="shared" ref="E92:J92" si="0">D92*SQRT(2)</f>
        <v>4.0000000000000009</v>
      </c>
      <c r="F92" s="1620">
        <f t="shared" si="0"/>
        <v>5.6568542494923815</v>
      </c>
      <c r="G92" s="1620">
        <f t="shared" si="0"/>
        <v>8.0000000000000018</v>
      </c>
      <c r="H92" s="1620">
        <f t="shared" si="0"/>
        <v>11.313708498984763</v>
      </c>
      <c r="I92" s="1620">
        <f t="shared" si="0"/>
        <v>16.000000000000004</v>
      </c>
      <c r="J92" s="1620">
        <f t="shared" si="0"/>
        <v>22.627416997969526</v>
      </c>
      <c r="N92"/>
    </row>
    <row r="93" spans="2:19" s="24" customFormat="1">
      <c r="B93" s="37" t="s">
        <v>3390</v>
      </c>
      <c r="C93" s="1619">
        <v>0.03</v>
      </c>
      <c r="D93" s="1619">
        <v>0.03</v>
      </c>
      <c r="E93" s="1619">
        <v>0.03</v>
      </c>
      <c r="F93" s="1619">
        <v>0.03</v>
      </c>
      <c r="G93" s="1619">
        <v>0.03</v>
      </c>
      <c r="H93" s="1619">
        <v>0.03</v>
      </c>
      <c r="I93" s="1619">
        <v>0.03</v>
      </c>
      <c r="J93" s="1619">
        <v>0.03</v>
      </c>
    </row>
    <row r="94" spans="2:19" s="24" customFormat="1">
      <c r="B94" s="37" t="s">
        <v>1959</v>
      </c>
      <c r="C94" s="1619">
        <v>3000</v>
      </c>
      <c r="D94" s="1619">
        <f>C94</f>
        <v>3000</v>
      </c>
      <c r="E94" s="1619">
        <f t="shared" ref="E94:J94" si="1">D94</f>
        <v>3000</v>
      </c>
      <c r="F94" s="1619">
        <f t="shared" si="1"/>
        <v>3000</v>
      </c>
      <c r="G94" s="1619">
        <f t="shared" si="1"/>
        <v>3000</v>
      </c>
      <c r="H94" s="1619">
        <f t="shared" si="1"/>
        <v>3000</v>
      </c>
      <c r="I94" s="1619">
        <f t="shared" si="1"/>
        <v>3000</v>
      </c>
      <c r="J94" s="1619">
        <f t="shared" si="1"/>
        <v>3000</v>
      </c>
    </row>
    <row r="95" spans="2:19" s="24" customFormat="1"/>
    <row r="96" spans="2:19" s="24" customFormat="1">
      <c r="B96" s="29" t="s">
        <v>3400</v>
      </c>
      <c r="C96" s="1608">
        <f>(C91^2)/(C93*C92)</f>
        <v>41666.666666666672</v>
      </c>
      <c r="D96" s="1608">
        <f t="shared" ref="D96:J96" si="2">(D91^2)/(D93*D92)</f>
        <v>29462.782549439478</v>
      </c>
      <c r="E96" s="1608">
        <f t="shared" si="2"/>
        <v>20833.333333333328</v>
      </c>
      <c r="F96" s="1608">
        <f t="shared" si="2"/>
        <v>14731.391274719737</v>
      </c>
      <c r="G96" s="1608">
        <f t="shared" si="2"/>
        <v>10416.666666666664</v>
      </c>
      <c r="H96" s="1608">
        <f t="shared" si="2"/>
        <v>7365.6956373598687</v>
      </c>
      <c r="I96" s="1608">
        <f t="shared" si="2"/>
        <v>5208.3333333333321</v>
      </c>
      <c r="J96" s="1608">
        <f t="shared" si="2"/>
        <v>3682.8478186799343</v>
      </c>
    </row>
    <row r="97" spans="1:23">
      <c r="A97" s="24"/>
      <c r="B97" s="37"/>
      <c r="C97" s="24"/>
      <c r="D97" s="24"/>
      <c r="E97" s="24"/>
      <c r="F97" s="24"/>
      <c r="G97" s="24"/>
      <c r="H97" s="24"/>
      <c r="I97" s="24"/>
      <c r="J97" s="24"/>
      <c r="K97" s="24"/>
      <c r="L97" s="24"/>
      <c r="M97" s="24"/>
      <c r="N97" s="24"/>
      <c r="O97" s="24"/>
      <c r="P97" s="24"/>
      <c r="Q97" s="24"/>
      <c r="R97" s="24"/>
      <c r="S97" s="24"/>
      <c r="T97" s="24"/>
      <c r="U97" s="24"/>
      <c r="V97" s="24"/>
      <c r="W97" s="24"/>
    </row>
    <row r="98" spans="1:23">
      <c r="A98" s="24"/>
      <c r="B98" s="37" t="s">
        <v>3393</v>
      </c>
      <c r="C98" s="1608">
        <f>(2*C94*(C94-C91)*C96)/(C96^2-(C94-C91)^2)</f>
        <v>426.94009700786552</v>
      </c>
      <c r="D98" s="1608">
        <f t="shared" ref="D98:J98" si="3">(2*D94*(D94-D91)*D96)/(D96^2-(D94-D91)^2)</f>
        <v>606.84167904417882</v>
      </c>
      <c r="E98" s="1608">
        <f t="shared" si="3"/>
        <v>866.98350478163479</v>
      </c>
      <c r="F98" s="1608">
        <f t="shared" si="3"/>
        <v>1251.7108495763448</v>
      </c>
      <c r="G98" s="1608">
        <f t="shared" si="3"/>
        <v>1847.3626202351272</v>
      </c>
      <c r="H98" s="1608">
        <f t="shared" si="3"/>
        <v>2862.1301900043054</v>
      </c>
      <c r="I98" s="1608">
        <f t="shared" si="3"/>
        <v>5003.5995763430592</v>
      </c>
      <c r="J98" s="1608">
        <f t="shared" si="3"/>
        <v>13410.445551208169</v>
      </c>
      <c r="K98" s="24"/>
      <c r="L98" s="24"/>
      <c r="M98" s="24"/>
      <c r="N98" s="24"/>
      <c r="O98" s="24"/>
      <c r="P98" s="24"/>
      <c r="Q98" s="24"/>
      <c r="R98" s="24"/>
      <c r="S98" s="24"/>
      <c r="T98" s="24"/>
      <c r="U98" s="24"/>
      <c r="V98" s="24"/>
      <c r="W98" s="24"/>
    </row>
    <row r="99" spans="1:23">
      <c r="A99" s="24"/>
      <c r="B99" s="24"/>
      <c r="C99" s="1623">
        <f>C98/10</f>
        <v>42.694009700786552</v>
      </c>
      <c r="D99" s="1623">
        <f t="shared" ref="D99:J99" si="4">D98/10</f>
        <v>60.684167904417883</v>
      </c>
      <c r="E99" s="1623">
        <f t="shared" si="4"/>
        <v>86.698350478163476</v>
      </c>
      <c r="F99" s="1623">
        <f t="shared" si="4"/>
        <v>125.17108495763448</v>
      </c>
      <c r="G99" s="1623">
        <f t="shared" si="4"/>
        <v>184.73626202351272</v>
      </c>
      <c r="H99" s="1623">
        <f t="shared" si="4"/>
        <v>286.21301900043056</v>
      </c>
      <c r="I99" s="1623">
        <f t="shared" si="4"/>
        <v>500.35995763430594</v>
      </c>
      <c r="J99" s="1623">
        <f t="shared" si="4"/>
        <v>1341.044555120817</v>
      </c>
      <c r="K99" s="24"/>
      <c r="L99" s="24"/>
      <c r="M99" s="24"/>
      <c r="N99" s="24"/>
      <c r="O99" s="24"/>
      <c r="P99" s="24"/>
      <c r="Q99" s="24"/>
      <c r="R99" s="24"/>
      <c r="S99" s="24"/>
      <c r="T99" s="24"/>
      <c r="U99" s="24"/>
      <c r="V99" s="24"/>
      <c r="W99" s="24"/>
    </row>
    <row r="100" spans="1:23">
      <c r="A100" s="24"/>
      <c r="B100" s="37"/>
      <c r="C100" s="1624">
        <f>C98/1000</f>
        <v>0.4269400970078655</v>
      </c>
      <c r="D100" s="1624">
        <f t="shared" ref="D100:J100" si="5">D98/1000</f>
        <v>0.60684167904417885</v>
      </c>
      <c r="E100" s="1624">
        <f t="shared" si="5"/>
        <v>0.86698350478163477</v>
      </c>
      <c r="F100" s="1624">
        <f t="shared" si="5"/>
        <v>1.2517108495763447</v>
      </c>
      <c r="G100" s="1624">
        <f t="shared" si="5"/>
        <v>1.8473626202351272</v>
      </c>
      <c r="H100" s="1624">
        <f t="shared" si="5"/>
        <v>2.8621301900043052</v>
      </c>
      <c r="I100" s="1624">
        <f t="shared" si="5"/>
        <v>5.003599576343059</v>
      </c>
      <c r="J100" s="1624">
        <f t="shared" si="5"/>
        <v>13.41044555120817</v>
      </c>
      <c r="K100" s="24"/>
      <c r="L100" s="24"/>
      <c r="M100" s="24"/>
      <c r="N100" s="24"/>
      <c r="O100" s="24"/>
      <c r="P100" s="24"/>
      <c r="Q100" s="24"/>
      <c r="R100" s="24"/>
      <c r="S100" s="24"/>
      <c r="T100" s="24"/>
      <c r="U100" s="24"/>
      <c r="V100" s="24"/>
      <c r="W100" s="24"/>
    </row>
    <row r="101" spans="1:23">
      <c r="A101" s="24"/>
      <c r="B101" s="24"/>
      <c r="C101" s="346"/>
      <c r="D101" s="24"/>
      <c r="E101" s="24"/>
      <c r="F101" s="24"/>
      <c r="G101" s="24"/>
      <c r="H101" s="24"/>
      <c r="I101" s="24"/>
      <c r="J101" s="24"/>
      <c r="K101" s="24"/>
      <c r="L101" s="24"/>
      <c r="M101" s="24"/>
      <c r="N101" s="24"/>
      <c r="O101" s="24"/>
      <c r="P101" s="24"/>
      <c r="Q101" s="24"/>
      <c r="R101" s="24"/>
      <c r="S101" s="24"/>
      <c r="T101" s="24"/>
      <c r="U101" s="24"/>
      <c r="V101" s="24"/>
      <c r="W101" s="24"/>
    </row>
    <row r="102" spans="1:23">
      <c r="A102" s="24"/>
      <c r="B102" s="607" t="s">
        <v>3398</v>
      </c>
      <c r="C102" s="346"/>
      <c r="D102" s="24"/>
      <c r="E102" s="24"/>
      <c r="F102" s="24"/>
      <c r="G102" s="24"/>
      <c r="H102" s="24"/>
      <c r="I102" s="24"/>
      <c r="J102" s="24"/>
      <c r="K102" s="24"/>
      <c r="L102" s="24"/>
      <c r="M102" s="24"/>
      <c r="N102" s="24"/>
      <c r="O102" s="24"/>
      <c r="P102" s="24"/>
      <c r="Q102" s="24"/>
      <c r="R102" s="24"/>
      <c r="S102" s="24"/>
      <c r="T102" s="24"/>
      <c r="U102" s="24"/>
      <c r="V102" s="24"/>
      <c r="W102" s="24"/>
    </row>
    <row r="103" spans="1:23">
      <c r="A103" s="24"/>
      <c r="B103" s="24"/>
      <c r="C103" s="346"/>
      <c r="D103" s="24"/>
      <c r="E103" s="24"/>
      <c r="F103" s="24"/>
      <c r="G103" s="24"/>
      <c r="H103" s="24"/>
      <c r="I103" s="24"/>
      <c r="J103" s="24"/>
      <c r="K103" s="24"/>
      <c r="L103" s="24"/>
      <c r="M103" s="24"/>
      <c r="N103" s="24"/>
      <c r="O103" s="24"/>
      <c r="P103" s="24"/>
      <c r="Q103" s="24"/>
      <c r="R103" s="24"/>
      <c r="T103" s="24"/>
      <c r="U103" s="24"/>
      <c r="V103" s="24"/>
      <c r="W103" s="24"/>
    </row>
    <row r="104" spans="1:23">
      <c r="A104" s="24"/>
      <c r="B104" s="24"/>
      <c r="D104" s="24"/>
      <c r="E104" s="24"/>
      <c r="F104" s="24"/>
      <c r="G104" s="24"/>
      <c r="H104" s="24"/>
      <c r="I104" s="24"/>
      <c r="J104" s="24"/>
      <c r="K104" s="24"/>
      <c r="L104" s="24"/>
      <c r="M104" s="24"/>
      <c r="N104" s="24"/>
      <c r="O104" s="24"/>
      <c r="P104" s="24"/>
      <c r="Q104" s="24"/>
      <c r="R104" s="24"/>
      <c r="S104" s="24"/>
      <c r="T104" s="24"/>
      <c r="U104" s="24"/>
      <c r="V104" s="24"/>
      <c r="W104" s="24"/>
    </row>
    <row r="105" spans="1:23">
      <c r="A105" s="24"/>
      <c r="B105" s="37" t="s">
        <v>224</v>
      </c>
      <c r="C105" s="1619">
        <v>17.3</v>
      </c>
      <c r="D105" s="1619">
        <v>17.3</v>
      </c>
      <c r="E105" s="1619">
        <v>17.3</v>
      </c>
      <c r="F105" s="1619">
        <v>17.3</v>
      </c>
      <c r="G105" s="1619">
        <v>17.3</v>
      </c>
      <c r="H105" s="1619">
        <v>17.3</v>
      </c>
      <c r="I105" s="1619">
        <v>17.3</v>
      </c>
      <c r="J105" s="1619">
        <v>17.3</v>
      </c>
      <c r="K105" s="24"/>
      <c r="L105" s="24"/>
      <c r="M105" s="24"/>
      <c r="N105" s="24"/>
      <c r="O105" s="24"/>
      <c r="P105" s="24"/>
      <c r="Q105" s="24"/>
      <c r="R105" s="24"/>
      <c r="S105" s="24"/>
      <c r="T105" s="24"/>
      <c r="U105" s="24"/>
      <c r="V105" s="24"/>
      <c r="W105" s="24"/>
    </row>
    <row r="106" spans="1:23">
      <c r="A106" s="24"/>
      <c r="B106" s="37" t="s">
        <v>225</v>
      </c>
      <c r="C106" s="1619">
        <v>13</v>
      </c>
      <c r="D106" s="1619">
        <v>13</v>
      </c>
      <c r="E106" s="1619">
        <v>13</v>
      </c>
      <c r="F106" s="1619">
        <v>13</v>
      </c>
      <c r="G106" s="1619">
        <v>13</v>
      </c>
      <c r="H106" s="1619">
        <v>13</v>
      </c>
      <c r="I106" s="1619">
        <v>13</v>
      </c>
      <c r="J106" s="1619">
        <v>13</v>
      </c>
      <c r="K106" s="24"/>
      <c r="L106" s="24"/>
      <c r="M106" s="24"/>
      <c r="N106" s="24"/>
      <c r="O106" s="24"/>
      <c r="P106" s="24"/>
      <c r="Q106" s="24"/>
      <c r="R106" s="24"/>
      <c r="S106" s="24"/>
      <c r="T106" s="24"/>
      <c r="U106" s="24"/>
      <c r="V106" s="24"/>
      <c r="W106" s="24"/>
    </row>
    <row r="107" spans="1:23">
      <c r="A107" s="24"/>
      <c r="B107" s="29" t="s">
        <v>1773</v>
      </c>
      <c r="C107" s="1619">
        <v>25</v>
      </c>
      <c r="D107" s="1619">
        <v>25</v>
      </c>
      <c r="E107" s="1619">
        <v>25</v>
      </c>
      <c r="F107" s="1619">
        <v>25</v>
      </c>
      <c r="G107" s="1619">
        <v>25</v>
      </c>
      <c r="H107" s="1619">
        <v>25</v>
      </c>
      <c r="I107" s="1619">
        <v>25</v>
      </c>
      <c r="J107" s="1619">
        <v>25</v>
      </c>
      <c r="K107" s="24"/>
      <c r="L107" s="24"/>
      <c r="M107" s="24"/>
      <c r="N107" s="24"/>
      <c r="O107" s="24"/>
      <c r="P107" s="24"/>
      <c r="Q107" s="24"/>
      <c r="R107" s="24"/>
      <c r="S107" s="24"/>
      <c r="T107" s="24"/>
      <c r="U107" s="24"/>
      <c r="V107" s="24"/>
      <c r="W107" s="24"/>
    </row>
    <row r="108" spans="1:23">
      <c r="A108" s="24"/>
      <c r="B108" s="29" t="s">
        <v>124</v>
      </c>
      <c r="C108" s="1187">
        <v>2</v>
      </c>
      <c r="D108" s="1620">
        <f>C108*SQRT(2)</f>
        <v>2.8284271247461903</v>
      </c>
      <c r="E108" s="1620">
        <f t="shared" ref="E108:J108" si="6">D108*SQRT(2)</f>
        <v>4.0000000000000009</v>
      </c>
      <c r="F108" s="1620">
        <f t="shared" si="6"/>
        <v>5.6568542494923815</v>
      </c>
      <c r="G108" s="1620">
        <f t="shared" si="6"/>
        <v>8.0000000000000018</v>
      </c>
      <c r="H108" s="1620">
        <f t="shared" si="6"/>
        <v>11.313708498984763</v>
      </c>
      <c r="I108" s="1620">
        <f t="shared" si="6"/>
        <v>16.000000000000004</v>
      </c>
      <c r="J108" s="1620">
        <f t="shared" si="6"/>
        <v>22.627416997969526</v>
      </c>
      <c r="K108" s="24"/>
      <c r="L108" s="24"/>
      <c r="M108" s="24"/>
      <c r="N108" s="24"/>
      <c r="O108" s="24"/>
      <c r="P108" s="24"/>
      <c r="Q108" s="24"/>
      <c r="R108" s="24"/>
      <c r="S108" s="24"/>
      <c r="T108" s="24"/>
      <c r="U108" s="24"/>
      <c r="V108" s="24"/>
      <c r="W108" s="24"/>
    </row>
    <row r="109" spans="1:23">
      <c r="A109" s="24"/>
      <c r="B109" s="37" t="s">
        <v>3390</v>
      </c>
      <c r="C109" s="1622">
        <f>C93*(SQRT(C105^2+C106^2)/SQRT(C89^2+C90^2))</f>
        <v>1.5004646716165066E-2</v>
      </c>
      <c r="D109" s="1622">
        <f t="shared" ref="D109:J109" si="7">D93*(SQRT(D105^2+D106^2)/SQRT(D89^2+D90^2))</f>
        <v>1.5004646716165066E-2</v>
      </c>
      <c r="E109" s="1622">
        <f t="shared" si="7"/>
        <v>1.5004646716165066E-2</v>
      </c>
      <c r="F109" s="1622">
        <f t="shared" si="7"/>
        <v>1.5004646716165066E-2</v>
      </c>
      <c r="G109" s="1622">
        <f t="shared" si="7"/>
        <v>1.5004646716165066E-2</v>
      </c>
      <c r="H109" s="1622">
        <f t="shared" si="7"/>
        <v>1.5004646716165066E-2</v>
      </c>
      <c r="I109" s="1622">
        <f t="shared" si="7"/>
        <v>1.5004646716165066E-2</v>
      </c>
      <c r="J109" s="1622">
        <f t="shared" si="7"/>
        <v>1.5004646716165066E-2</v>
      </c>
      <c r="K109" s="24" t="s">
        <v>4650</v>
      </c>
      <c r="L109" s="24"/>
      <c r="M109" s="24"/>
      <c r="N109" s="24"/>
      <c r="O109" s="24"/>
      <c r="P109" s="24"/>
      <c r="Q109" s="24"/>
      <c r="R109" s="24"/>
      <c r="S109" s="24"/>
      <c r="T109" s="24"/>
      <c r="U109" s="24"/>
      <c r="V109" s="24"/>
      <c r="W109" s="24"/>
    </row>
    <row r="110" spans="1:23">
      <c r="A110" s="24"/>
      <c r="B110" s="37" t="s">
        <v>1959</v>
      </c>
      <c r="C110" s="1619">
        <v>3000</v>
      </c>
      <c r="D110" s="1619">
        <f>C110</f>
        <v>3000</v>
      </c>
      <c r="E110" s="1619">
        <f t="shared" ref="E110:J110" si="8">D110</f>
        <v>3000</v>
      </c>
      <c r="F110" s="1619">
        <f t="shared" si="8"/>
        <v>3000</v>
      </c>
      <c r="G110" s="1619">
        <f t="shared" si="8"/>
        <v>3000</v>
      </c>
      <c r="H110" s="1619">
        <f t="shared" si="8"/>
        <v>3000</v>
      </c>
      <c r="I110" s="1619">
        <f t="shared" si="8"/>
        <v>3000</v>
      </c>
      <c r="J110" s="1619">
        <f t="shared" si="8"/>
        <v>3000</v>
      </c>
      <c r="K110" s="24"/>
      <c r="L110" s="24"/>
      <c r="M110" s="24"/>
      <c r="N110" s="24"/>
      <c r="O110" s="24"/>
      <c r="P110" s="24"/>
      <c r="Q110" s="24"/>
      <c r="R110" s="24"/>
      <c r="S110" s="24"/>
      <c r="T110" s="24"/>
      <c r="U110" s="24"/>
      <c r="V110" s="24"/>
      <c r="W110" s="24"/>
    </row>
    <row r="111" spans="1:23">
      <c r="A111" s="24"/>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1:23">
      <c r="A112" s="24"/>
      <c r="B112" s="29" t="s">
        <v>3400</v>
      </c>
      <c r="C112" s="1608">
        <f>(C107^2)/(C109*C108)</f>
        <v>20826.881559519297</v>
      </c>
      <c r="D112" s="1608">
        <f t="shared" ref="D112:J112" si="9">(D107^2)/(D109*D108)</f>
        <v>14726.829181705152</v>
      </c>
      <c r="E112" s="1608">
        <f t="shared" si="9"/>
        <v>10413.440779759647</v>
      </c>
      <c r="F112" s="1608">
        <f t="shared" si="9"/>
        <v>7363.4145908525743</v>
      </c>
      <c r="G112" s="1608">
        <f t="shared" si="9"/>
        <v>5206.7203898798234</v>
      </c>
      <c r="H112" s="1608">
        <f t="shared" si="9"/>
        <v>3681.7072954262871</v>
      </c>
      <c r="I112" s="1608">
        <f t="shared" si="9"/>
        <v>2603.3601949399117</v>
      </c>
      <c r="J112" s="1608">
        <f t="shared" si="9"/>
        <v>1840.8536477131436</v>
      </c>
      <c r="K112" s="24"/>
      <c r="L112" s="24"/>
      <c r="M112" s="24"/>
      <c r="N112" s="24"/>
      <c r="O112" s="24"/>
      <c r="P112" s="24"/>
      <c r="Q112" s="24"/>
      <c r="R112" s="24"/>
      <c r="S112" s="24"/>
      <c r="T112" s="24"/>
      <c r="U112" s="24"/>
      <c r="V112" s="24"/>
      <c r="W112" s="24"/>
    </row>
    <row r="113" spans="1:23">
      <c r="A113" s="24"/>
      <c r="B113" s="37"/>
      <c r="C113" s="24"/>
      <c r="D113" s="24"/>
      <c r="E113" s="24"/>
      <c r="F113" s="24"/>
      <c r="G113" s="24"/>
      <c r="H113" s="24"/>
      <c r="I113" s="24"/>
      <c r="J113" s="24"/>
      <c r="K113" s="24"/>
      <c r="L113" s="24"/>
      <c r="M113" s="24"/>
      <c r="N113" s="24"/>
      <c r="O113" s="24"/>
      <c r="P113" s="24"/>
      <c r="Q113" s="24"/>
      <c r="R113" s="24"/>
      <c r="S113" s="24"/>
      <c r="T113" s="24"/>
      <c r="U113" s="24"/>
      <c r="V113" s="24"/>
      <c r="W113" s="24"/>
    </row>
    <row r="114" spans="1:23">
      <c r="A114" s="24"/>
      <c r="B114" s="37" t="s">
        <v>3393</v>
      </c>
      <c r="C114" s="1608">
        <f>(2*C110*(C110-C107)*C112)/(C112^2-(C110-C107)^2)</f>
        <v>874.91765672913391</v>
      </c>
      <c r="D114" s="1608">
        <f t="shared" ref="D114:J114" si="10">(2*D110*(D110-D107)*D112)/(D112^2-(D110-D107)^2)</f>
        <v>1263.6414235296249</v>
      </c>
      <c r="E114" s="1608">
        <f t="shared" si="10"/>
        <v>1866.4680508155054</v>
      </c>
      <c r="F114" s="1608">
        <f t="shared" si="10"/>
        <v>2897.0492586585151</v>
      </c>
      <c r="G114" s="1608">
        <f t="shared" si="10"/>
        <v>5090.0032732748914</v>
      </c>
      <c r="H114" s="1608">
        <f t="shared" si="10"/>
        <v>13969.743854361612</v>
      </c>
      <c r="I114" s="1608">
        <f t="shared" si="10"/>
        <v>-22415.256032903722</v>
      </c>
      <c r="J114" s="1608">
        <f t="shared" si="10"/>
        <v>-6016.1007710938629</v>
      </c>
      <c r="K114" s="24"/>
      <c r="L114" s="24"/>
      <c r="M114" s="24"/>
      <c r="N114" s="24"/>
      <c r="O114" s="24"/>
      <c r="P114" s="24"/>
      <c r="Q114" s="24"/>
      <c r="R114" s="24"/>
      <c r="S114" s="24"/>
      <c r="T114" s="24"/>
      <c r="U114" s="24"/>
      <c r="V114" s="24"/>
      <c r="W114" s="24"/>
    </row>
    <row r="115" spans="1:23">
      <c r="A115" s="24"/>
      <c r="B115" s="37"/>
      <c r="C115" s="1623">
        <f>C114/10</f>
        <v>87.491765672913388</v>
      </c>
      <c r="D115" s="1623">
        <f t="shared" ref="D115:J115" si="11">D114/10</f>
        <v>126.36414235296249</v>
      </c>
      <c r="E115" s="1623">
        <f t="shared" si="11"/>
        <v>186.64680508155055</v>
      </c>
      <c r="F115" s="1623">
        <f t="shared" si="11"/>
        <v>289.70492586585152</v>
      </c>
      <c r="G115" s="1623">
        <f t="shared" si="11"/>
        <v>509.00032732748912</v>
      </c>
      <c r="H115" s="1623">
        <f t="shared" si="11"/>
        <v>1396.9743854361611</v>
      </c>
      <c r="I115" s="1623">
        <f t="shared" si="11"/>
        <v>-2241.5256032903721</v>
      </c>
      <c r="J115" s="1623">
        <f t="shared" si="11"/>
        <v>-601.61007710938634</v>
      </c>
      <c r="K115" s="24"/>
      <c r="L115" s="24"/>
      <c r="M115" s="24"/>
      <c r="N115" s="24"/>
      <c r="O115" s="24"/>
      <c r="P115" s="24"/>
      <c r="Q115" s="24"/>
      <c r="R115" s="24"/>
      <c r="S115" s="24"/>
      <c r="T115" s="24"/>
      <c r="U115" s="24"/>
      <c r="V115" s="24"/>
      <c r="W115" s="24"/>
    </row>
    <row r="116" spans="1:23">
      <c r="A116" s="24"/>
      <c r="B116" s="37"/>
      <c r="C116" s="1624">
        <f>C114/1000</f>
        <v>0.87491765672913391</v>
      </c>
      <c r="D116" s="1624">
        <f t="shared" ref="D116:J116" si="12">D114/1000</f>
        <v>1.2636414235296249</v>
      </c>
      <c r="E116" s="1624">
        <f t="shared" si="12"/>
        <v>1.8664680508155054</v>
      </c>
      <c r="F116" s="1624">
        <f t="shared" si="12"/>
        <v>2.897049258658515</v>
      </c>
      <c r="G116" s="1624">
        <f t="shared" si="12"/>
        <v>5.090003273274891</v>
      </c>
      <c r="H116" s="1624">
        <f t="shared" si="12"/>
        <v>13.969743854361612</v>
      </c>
      <c r="I116" s="1624">
        <f t="shared" si="12"/>
        <v>-22.415256032903724</v>
      </c>
      <c r="J116" s="1624">
        <f t="shared" si="12"/>
        <v>-6.0161007710938632</v>
      </c>
      <c r="K116" s="24"/>
      <c r="L116" s="24"/>
      <c r="M116" s="24"/>
      <c r="N116" s="24"/>
      <c r="O116" s="24"/>
      <c r="P116" s="24"/>
      <c r="Q116" s="24"/>
      <c r="R116" s="24"/>
      <c r="S116" s="24"/>
      <c r="T116" s="24"/>
      <c r="U116" s="24"/>
      <c r="V116" s="24"/>
      <c r="W116" s="24"/>
    </row>
    <row r="117" spans="1:23">
      <c r="A117" s="24"/>
      <c r="B117" s="24"/>
      <c r="C117" s="346"/>
      <c r="D117" s="24"/>
      <c r="E117" s="24"/>
      <c r="F117" s="24"/>
      <c r="G117" s="24"/>
      <c r="H117" s="24"/>
      <c r="I117" s="24"/>
      <c r="J117" s="24"/>
      <c r="K117" s="24"/>
      <c r="L117" s="24"/>
      <c r="M117" s="24"/>
      <c r="N117" s="24"/>
      <c r="O117" s="24"/>
      <c r="P117" s="24"/>
      <c r="Q117" s="24"/>
      <c r="R117" s="24"/>
      <c r="S117" s="24"/>
      <c r="T117" s="24"/>
      <c r="U117" s="24"/>
      <c r="V117" s="24"/>
      <c r="W117" s="24"/>
    </row>
    <row r="118" spans="1:23">
      <c r="A118" s="24"/>
      <c r="B118" s="24"/>
      <c r="C118" s="1621" t="s">
        <v>3373</v>
      </c>
      <c r="D118" s="24"/>
      <c r="E118" s="24"/>
      <c r="F118" s="24"/>
      <c r="G118" s="24"/>
      <c r="H118" s="24"/>
      <c r="I118" s="24"/>
      <c r="J118" s="24"/>
      <c r="K118" s="24"/>
      <c r="L118" s="24"/>
      <c r="M118" s="24"/>
      <c r="N118" s="24"/>
      <c r="O118" s="24"/>
      <c r="P118" s="24"/>
      <c r="Q118" s="24"/>
      <c r="R118" s="24"/>
      <c r="S118" s="24"/>
      <c r="T118" s="24"/>
      <c r="U118" s="24"/>
      <c r="V118" s="24"/>
      <c r="W118" s="24"/>
    </row>
    <row r="119" spans="1:23">
      <c r="A119" s="24"/>
      <c r="B119" s="24"/>
      <c r="C119" s="1621" t="s">
        <v>3374</v>
      </c>
      <c r="D119" s="24"/>
      <c r="E119" s="24"/>
      <c r="F119" s="24"/>
      <c r="G119" s="24"/>
      <c r="H119" s="24"/>
      <c r="I119" s="24"/>
      <c r="J119" s="24"/>
      <c r="K119" s="24"/>
      <c r="L119" s="24"/>
      <c r="M119" s="24"/>
      <c r="N119" s="24"/>
      <c r="O119" s="24"/>
      <c r="P119" s="24"/>
      <c r="Q119" s="24"/>
      <c r="R119" s="24"/>
      <c r="S119" s="24"/>
      <c r="T119" s="24"/>
      <c r="U119" s="24"/>
      <c r="V119" s="24"/>
      <c r="W119" s="24"/>
    </row>
    <row r="120" spans="1:23">
      <c r="A120" s="24"/>
      <c r="B120" s="24"/>
      <c r="C120" s="1621" t="s">
        <v>3375</v>
      </c>
      <c r="D120" s="24"/>
      <c r="E120" s="24"/>
      <c r="F120" s="24"/>
      <c r="G120" s="24"/>
      <c r="H120" s="24"/>
      <c r="I120" s="24"/>
      <c r="J120" s="24"/>
      <c r="K120" s="24"/>
      <c r="L120" s="24"/>
      <c r="M120" s="24"/>
      <c r="N120" s="24"/>
      <c r="O120" s="24"/>
      <c r="P120" s="24"/>
      <c r="Q120" s="24"/>
      <c r="R120" s="24"/>
      <c r="S120" s="24"/>
      <c r="T120" s="24"/>
      <c r="U120" s="24"/>
      <c r="V120" s="24"/>
      <c r="W120" s="24"/>
    </row>
    <row r="121" spans="1:23" ht="15.75">
      <c r="A121" s="24"/>
      <c r="B121" s="986"/>
      <c r="C121" s="1621" t="s">
        <v>3376</v>
      </c>
      <c r="D121" s="24"/>
      <c r="E121" s="24"/>
      <c r="F121" s="24"/>
      <c r="G121" s="24"/>
      <c r="H121" s="24"/>
      <c r="I121" s="24"/>
      <c r="J121" s="24"/>
      <c r="K121" s="24"/>
      <c r="L121" s="24"/>
      <c r="M121" s="24"/>
      <c r="N121" s="24"/>
      <c r="O121" s="24"/>
      <c r="P121" s="24"/>
      <c r="Q121" s="24"/>
      <c r="R121" s="24"/>
      <c r="S121" s="24"/>
      <c r="U121" s="24"/>
      <c r="V121" s="24"/>
    </row>
    <row r="122" spans="1:23">
      <c r="A122" s="24"/>
      <c r="B122" s="65"/>
      <c r="C122" s="346"/>
      <c r="D122" s="24"/>
      <c r="E122" s="24"/>
      <c r="F122" s="24"/>
      <c r="G122" s="24"/>
      <c r="H122" s="24"/>
      <c r="I122" s="24"/>
      <c r="J122" s="24"/>
      <c r="K122" s="24"/>
      <c r="L122" s="24"/>
      <c r="M122" s="24"/>
      <c r="N122" s="24"/>
      <c r="O122" s="24"/>
      <c r="P122" s="24"/>
      <c r="Q122" s="24"/>
      <c r="R122" s="24"/>
      <c r="S122" s="24"/>
      <c r="T122" s="24"/>
      <c r="U122" s="24"/>
      <c r="V122" s="24"/>
    </row>
    <row r="123" spans="1:23">
      <c r="A123" s="24"/>
      <c r="B123" s="24"/>
      <c r="C123" s="346"/>
      <c r="D123" s="24"/>
      <c r="E123" s="24"/>
      <c r="F123" s="24"/>
      <c r="G123" s="24"/>
      <c r="H123" s="24"/>
      <c r="I123" s="24"/>
      <c r="J123" s="24"/>
      <c r="K123" s="24"/>
      <c r="L123" s="24"/>
      <c r="M123" s="24"/>
      <c r="N123" s="24"/>
      <c r="O123" s="24"/>
      <c r="P123" s="24"/>
      <c r="Q123" s="24"/>
      <c r="R123" s="24"/>
      <c r="S123" s="24"/>
      <c r="U123" s="24"/>
      <c r="V123" s="24"/>
    </row>
    <row r="124" spans="1:23">
      <c r="A124" s="24"/>
      <c r="B124" s="65" t="s">
        <v>4653</v>
      </c>
      <c r="C124" s="24"/>
      <c r="D124" s="24"/>
      <c r="E124" s="24"/>
      <c r="F124" s="24"/>
      <c r="G124" s="24"/>
      <c r="H124" s="24"/>
      <c r="I124" s="24"/>
      <c r="J124" s="24"/>
      <c r="K124" s="24"/>
      <c r="L124" s="24"/>
      <c r="M124" s="24"/>
      <c r="N124" s="24"/>
      <c r="O124" s="24"/>
      <c r="P124" s="24"/>
      <c r="Q124" s="24"/>
      <c r="R124" s="24"/>
      <c r="S124" s="24"/>
      <c r="T124" s="24"/>
      <c r="U124" s="24"/>
      <c r="V124" s="24"/>
    </row>
    <row r="125" spans="1:23">
      <c r="A125" s="24"/>
      <c r="B125" s="65" t="s">
        <v>4654</v>
      </c>
      <c r="C125" s="24"/>
      <c r="D125" s="24"/>
      <c r="E125" s="24"/>
      <c r="F125" s="24"/>
      <c r="G125" s="24"/>
      <c r="H125" s="24"/>
      <c r="I125" s="24"/>
      <c r="J125" s="24"/>
      <c r="K125" s="24"/>
      <c r="L125" s="24"/>
      <c r="M125" s="24"/>
      <c r="N125" s="24"/>
      <c r="O125" s="24"/>
      <c r="P125" s="24"/>
      <c r="Q125" s="24"/>
      <c r="R125" s="24"/>
      <c r="S125" s="24"/>
      <c r="T125" s="24"/>
      <c r="U125" s="24"/>
      <c r="V125" s="24"/>
    </row>
    <row r="126" spans="1:23">
      <c r="A126" s="24"/>
      <c r="B126" s="24"/>
      <c r="C126" s="24"/>
      <c r="D126" s="24"/>
      <c r="E126" s="24"/>
      <c r="F126" s="24"/>
      <c r="G126" s="24"/>
      <c r="H126" s="24"/>
      <c r="I126" s="24"/>
      <c r="J126" s="24"/>
      <c r="K126" s="24"/>
      <c r="L126" s="24"/>
      <c r="M126" s="24"/>
      <c r="N126" s="24"/>
      <c r="O126" s="24"/>
      <c r="P126" s="24"/>
      <c r="Q126" s="24"/>
      <c r="R126" s="24"/>
      <c r="S126" s="24"/>
      <c r="T126" s="24"/>
      <c r="U126" s="24"/>
      <c r="V126" s="24"/>
    </row>
    <row r="127" spans="1:23">
      <c r="A127" s="24"/>
      <c r="B127" s="56" t="s">
        <v>3082</v>
      </c>
      <c r="C127" s="1172">
        <v>50</v>
      </c>
      <c r="D127" s="1231">
        <f t="shared" ref="D127:J128" si="13">C127</f>
        <v>50</v>
      </c>
      <c r="E127" s="1231">
        <f t="shared" si="13"/>
        <v>50</v>
      </c>
      <c r="F127" s="1231">
        <f t="shared" si="13"/>
        <v>50</v>
      </c>
      <c r="G127" s="1231">
        <f t="shared" si="13"/>
        <v>50</v>
      </c>
      <c r="H127" s="1231">
        <f t="shared" si="13"/>
        <v>50</v>
      </c>
      <c r="I127" s="1231">
        <f t="shared" si="13"/>
        <v>50</v>
      </c>
      <c r="J127" s="1231">
        <f t="shared" si="13"/>
        <v>50</v>
      </c>
      <c r="K127" s="24"/>
      <c r="L127" s="24"/>
      <c r="M127" s="24"/>
      <c r="N127" s="24"/>
      <c r="O127" s="24"/>
      <c r="P127" s="24"/>
      <c r="Q127" s="24"/>
      <c r="R127" s="24"/>
      <c r="S127" s="24"/>
      <c r="T127" s="24"/>
      <c r="U127" s="24"/>
      <c r="V127" s="24"/>
    </row>
    <row r="128" spans="1:23">
      <c r="A128" s="24"/>
      <c r="B128" s="56" t="s">
        <v>3340</v>
      </c>
      <c r="C128" s="1173">
        <v>5.491251783869152E-2</v>
      </c>
      <c r="D128" s="771">
        <f t="shared" si="13"/>
        <v>5.491251783869152E-2</v>
      </c>
      <c r="E128" s="771">
        <f t="shared" si="13"/>
        <v>5.491251783869152E-2</v>
      </c>
      <c r="F128" s="771">
        <f t="shared" si="13"/>
        <v>5.491251783869152E-2</v>
      </c>
      <c r="G128" s="771">
        <f t="shared" si="13"/>
        <v>5.491251783869152E-2</v>
      </c>
      <c r="H128" s="771">
        <f t="shared" si="13"/>
        <v>5.491251783869152E-2</v>
      </c>
      <c r="I128" s="771">
        <f t="shared" si="13"/>
        <v>5.491251783869152E-2</v>
      </c>
      <c r="J128" s="771">
        <f t="shared" si="13"/>
        <v>5.491251783869152E-2</v>
      </c>
      <c r="K128" s="24"/>
      <c r="L128" s="24"/>
      <c r="M128" s="24"/>
      <c r="N128" s="24"/>
      <c r="O128" s="24"/>
      <c r="P128" s="24"/>
      <c r="Q128" s="24"/>
      <c r="R128" s="24"/>
      <c r="S128" s="24"/>
      <c r="T128" s="24"/>
      <c r="U128" s="24"/>
      <c r="V128" s="24"/>
    </row>
    <row r="129" spans="1:22">
      <c r="A129" s="24"/>
      <c r="B129" s="56" t="s">
        <v>124</v>
      </c>
      <c r="C129" s="1174">
        <v>2</v>
      </c>
      <c r="D129" s="365">
        <f>C129*SQRT(2)</f>
        <v>2.8284271247461903</v>
      </c>
      <c r="E129" s="365">
        <f t="shared" ref="E129:J129" si="14">D129*SQRT(2)</f>
        <v>4.0000000000000009</v>
      </c>
      <c r="F129" s="365">
        <f t="shared" si="14"/>
        <v>5.6568542494923815</v>
      </c>
      <c r="G129" s="365">
        <f t="shared" si="14"/>
        <v>8.0000000000000018</v>
      </c>
      <c r="H129" s="365">
        <f t="shared" si="14"/>
        <v>11.313708498984763</v>
      </c>
      <c r="I129" s="365">
        <f t="shared" si="14"/>
        <v>16.000000000000004</v>
      </c>
      <c r="J129" s="365">
        <f t="shared" si="14"/>
        <v>22.627416997969526</v>
      </c>
      <c r="K129" s="24"/>
      <c r="L129" s="24"/>
      <c r="M129" s="24"/>
      <c r="N129" s="24"/>
      <c r="O129" s="24"/>
      <c r="P129" s="24"/>
      <c r="Q129" s="24"/>
      <c r="R129" s="24"/>
      <c r="S129" s="24"/>
      <c r="T129" s="24"/>
      <c r="U129" s="24"/>
      <c r="V129" s="24"/>
    </row>
    <row r="130" spans="1:22">
      <c r="A130" s="24"/>
      <c r="B130" s="56" t="s">
        <v>3081</v>
      </c>
      <c r="C130" s="681">
        <v>3000</v>
      </c>
      <c r="D130" s="1605">
        <f t="shared" ref="D130:J130" si="15">C130</f>
        <v>3000</v>
      </c>
      <c r="E130" s="1605">
        <f t="shared" si="15"/>
        <v>3000</v>
      </c>
      <c r="F130" s="1605">
        <f t="shared" si="15"/>
        <v>3000</v>
      </c>
      <c r="G130" s="1605">
        <f t="shared" si="15"/>
        <v>3000</v>
      </c>
      <c r="H130" s="1605">
        <f t="shared" si="15"/>
        <v>3000</v>
      </c>
      <c r="I130" s="1605">
        <f t="shared" si="15"/>
        <v>3000</v>
      </c>
      <c r="J130" s="1605">
        <f t="shared" si="15"/>
        <v>3000</v>
      </c>
      <c r="K130" s="24"/>
      <c r="L130" s="24"/>
      <c r="M130" s="24"/>
      <c r="N130" s="24"/>
      <c r="O130" s="24"/>
      <c r="P130" s="24"/>
      <c r="Q130" s="24"/>
      <c r="R130" s="24"/>
      <c r="S130" s="24"/>
      <c r="T130" s="24"/>
      <c r="U130" s="24"/>
      <c r="V130" s="24"/>
    </row>
    <row r="131" spans="1:22">
      <c r="A131" s="24"/>
      <c r="B131" s="37"/>
      <c r="C131" s="24"/>
      <c r="D131" s="24"/>
      <c r="E131" s="24"/>
      <c r="F131" s="24"/>
      <c r="G131" s="24"/>
      <c r="H131" s="24"/>
      <c r="I131" s="24"/>
      <c r="J131" s="24"/>
      <c r="K131" s="24"/>
      <c r="L131" s="24"/>
      <c r="M131" s="24"/>
      <c r="N131" s="24"/>
      <c r="O131" s="24"/>
      <c r="P131" s="24"/>
      <c r="Q131" s="24"/>
      <c r="R131" s="24"/>
      <c r="S131" s="24"/>
      <c r="T131" s="24"/>
      <c r="U131" s="24"/>
      <c r="V131" s="24"/>
    </row>
    <row r="132" spans="1:22">
      <c r="A132" s="24"/>
      <c r="B132" s="24" t="s">
        <v>4631</v>
      </c>
      <c r="C132" s="24"/>
      <c r="D132" s="24"/>
      <c r="E132" s="24"/>
      <c r="F132" s="24"/>
      <c r="G132" s="24"/>
      <c r="H132" s="24"/>
      <c r="I132" s="24"/>
      <c r="J132" s="24"/>
      <c r="K132" s="24"/>
      <c r="L132" s="24"/>
      <c r="M132" s="24"/>
      <c r="N132" s="24"/>
      <c r="O132" s="24"/>
      <c r="P132" s="24"/>
      <c r="Q132" s="24"/>
      <c r="R132" s="24"/>
      <c r="S132" s="24"/>
      <c r="T132" s="24"/>
      <c r="U132" s="24"/>
      <c r="V132" s="24"/>
    </row>
    <row r="133" spans="1:22">
      <c r="A133" s="24"/>
      <c r="B133" s="24" t="s">
        <v>4632</v>
      </c>
      <c r="C133" s="24"/>
      <c r="D133" s="24"/>
      <c r="E133" s="24"/>
      <c r="F133" s="24"/>
      <c r="G133" s="24"/>
      <c r="H133" s="24"/>
      <c r="I133" s="24"/>
      <c r="J133" s="24"/>
      <c r="K133" s="24"/>
      <c r="L133" s="24"/>
      <c r="M133" s="24"/>
      <c r="N133" s="24"/>
      <c r="O133" s="24"/>
      <c r="P133" s="24"/>
      <c r="Q133" s="24"/>
      <c r="R133" s="24"/>
      <c r="S133" s="24"/>
      <c r="T133" s="24"/>
      <c r="U133" s="24"/>
      <c r="V133" s="24"/>
    </row>
    <row r="134" spans="1:22">
      <c r="A134" s="24"/>
      <c r="B134" s="1604" t="s">
        <v>3343</v>
      </c>
      <c r="C134" s="24"/>
      <c r="D134" s="24"/>
      <c r="E134" s="24"/>
      <c r="F134" s="24"/>
      <c r="G134" s="24"/>
      <c r="H134" s="24"/>
      <c r="I134" s="24"/>
      <c r="J134" s="24"/>
      <c r="K134" s="24"/>
      <c r="L134" s="24"/>
      <c r="M134" s="24"/>
      <c r="N134" s="24"/>
      <c r="O134" s="24"/>
      <c r="P134" s="24"/>
      <c r="Q134" s="24"/>
      <c r="R134" s="24"/>
      <c r="S134" s="24"/>
      <c r="T134" s="24"/>
      <c r="U134" s="24"/>
      <c r="V134" s="24"/>
    </row>
    <row r="135" spans="1:22">
      <c r="A135" s="24"/>
      <c r="B135" s="1604" t="s">
        <v>3344</v>
      </c>
      <c r="C135" s="24"/>
      <c r="D135" s="24"/>
      <c r="E135" s="24"/>
      <c r="F135" s="24"/>
      <c r="G135" s="24"/>
      <c r="H135" s="24"/>
      <c r="I135" s="24"/>
      <c r="J135" s="24"/>
      <c r="K135" s="24"/>
      <c r="L135" s="24"/>
      <c r="M135" s="24"/>
      <c r="N135" s="24"/>
      <c r="O135" s="24"/>
      <c r="P135" s="24"/>
      <c r="Q135" s="24"/>
      <c r="R135" s="24"/>
      <c r="S135" s="24"/>
      <c r="T135" s="24"/>
      <c r="U135" s="24"/>
      <c r="V135" s="24"/>
    </row>
    <row r="136" spans="1:22">
      <c r="A136" s="24"/>
      <c r="C136" s="24"/>
      <c r="D136" s="24"/>
      <c r="E136" s="24"/>
      <c r="F136" s="24"/>
      <c r="G136" s="24"/>
      <c r="H136" s="24"/>
      <c r="I136" s="24"/>
      <c r="J136" s="24"/>
      <c r="K136" s="24"/>
      <c r="L136" s="24"/>
      <c r="M136" s="24"/>
      <c r="N136" s="24"/>
      <c r="O136" s="24"/>
      <c r="P136" s="24"/>
      <c r="Q136" s="24"/>
      <c r="R136" s="24"/>
      <c r="S136" s="24"/>
      <c r="T136" s="24"/>
      <c r="U136" s="24"/>
      <c r="V136" s="24"/>
    </row>
    <row r="137" spans="1:22">
      <c r="A137" s="24"/>
      <c r="B137" s="37" t="s">
        <v>4634</v>
      </c>
      <c r="C137" s="1607">
        <f>ABS(C127^2/(C128*C129))</f>
        <v>22763.479971396366</v>
      </c>
      <c r="D137" s="57">
        <f t="shared" ref="D137:J137" si="16">D127^2/(D128*D129)</f>
        <v>16096.211051178525</v>
      </c>
      <c r="E137" s="57">
        <f t="shared" si="16"/>
        <v>11381.739985698179</v>
      </c>
      <c r="F137" s="57">
        <f t="shared" si="16"/>
        <v>8048.1055255892616</v>
      </c>
      <c r="G137" s="57">
        <f t="shared" si="16"/>
        <v>5690.8699928490896</v>
      </c>
      <c r="H137" s="57">
        <f t="shared" si="16"/>
        <v>4024.0527627946308</v>
      </c>
      <c r="I137" s="57">
        <f t="shared" si="16"/>
        <v>2845.4349964245448</v>
      </c>
      <c r="J137" s="57">
        <f t="shared" si="16"/>
        <v>2012.0263813973154</v>
      </c>
      <c r="K137" s="24"/>
      <c r="L137" s="24"/>
      <c r="M137" s="24"/>
      <c r="N137" s="24"/>
      <c r="O137" s="24"/>
      <c r="P137" s="24"/>
      <c r="Q137" s="24"/>
      <c r="R137" s="24"/>
      <c r="S137" s="24"/>
      <c r="T137" s="24"/>
      <c r="U137" s="24"/>
      <c r="V137" s="24"/>
    </row>
    <row r="138" spans="1:22">
      <c r="A138" s="24"/>
      <c r="B138" s="37"/>
      <c r="C138" s="57"/>
      <c r="D138" s="57"/>
      <c r="E138" s="57"/>
      <c r="F138" s="57"/>
      <c r="G138" s="57"/>
      <c r="H138" s="57"/>
      <c r="I138" s="57"/>
      <c r="J138" s="57"/>
      <c r="K138" s="24"/>
      <c r="L138" s="24"/>
      <c r="M138" s="24"/>
      <c r="N138" s="24"/>
      <c r="O138" s="24"/>
      <c r="P138" s="24"/>
      <c r="Q138" s="24"/>
      <c r="R138" s="24"/>
      <c r="S138" s="24"/>
      <c r="T138" s="24"/>
      <c r="U138" s="24"/>
      <c r="V138" s="24"/>
    </row>
    <row r="139" spans="1:22">
      <c r="A139" s="24"/>
      <c r="B139" s="1175" t="s">
        <v>3345</v>
      </c>
      <c r="C139" s="1176">
        <f t="shared" ref="C139:J139" si="17">(C137*C130)/(C137+(C130-C127))</f>
        <v>2655.8225487236764</v>
      </c>
      <c r="D139" s="1176">
        <f t="shared" si="17"/>
        <v>2535.3406524678626</v>
      </c>
      <c r="E139" s="1176">
        <f t="shared" si="17"/>
        <v>2382.4894947276794</v>
      </c>
      <c r="F139" s="1176">
        <f t="shared" si="17"/>
        <v>2195.3159587886544</v>
      </c>
      <c r="G139" s="1176">
        <f t="shared" si="17"/>
        <v>1975.7975750909363</v>
      </c>
      <c r="H139" s="1176">
        <f t="shared" si="17"/>
        <v>1731.0104610602857</v>
      </c>
      <c r="I139" s="1176">
        <f t="shared" si="17"/>
        <v>1472.936025430369</v>
      </c>
      <c r="J139" s="1177">
        <f t="shared" si="17"/>
        <v>1216.4544644142291</v>
      </c>
      <c r="K139" s="24"/>
      <c r="L139" s="24"/>
      <c r="M139" s="24"/>
      <c r="N139" s="24"/>
      <c r="O139" s="24"/>
      <c r="P139" s="24"/>
      <c r="Q139" s="24"/>
      <c r="R139" s="24"/>
      <c r="S139" s="24"/>
      <c r="T139" s="24"/>
      <c r="U139" s="24"/>
      <c r="V139" s="24"/>
    </row>
    <row r="140" spans="1:22">
      <c r="A140" s="24"/>
      <c r="B140" s="1178" t="s">
        <v>3346</v>
      </c>
      <c r="C140" s="308">
        <f t="shared" ref="C140:J140" si="18">IF((C137*C130)/(C137-(C130-C127))&lt;0,(C137*C130)/(C137-(C130-C127))*-1,(C137*C130)/(C137-(C130-C127)))</f>
        <v>3446.6656040622979</v>
      </c>
      <c r="D140" s="308">
        <f t="shared" si="18"/>
        <v>3673.1977727686503</v>
      </c>
      <c r="E140" s="308">
        <f t="shared" si="18"/>
        <v>4049.6054213022776</v>
      </c>
      <c r="F140" s="308">
        <f t="shared" si="18"/>
        <v>4735.9389592032967</v>
      </c>
      <c r="G140" s="308">
        <f t="shared" si="18"/>
        <v>6228.9017804892555</v>
      </c>
      <c r="H140" s="308">
        <f t="shared" si="18"/>
        <v>11239.818663072705</v>
      </c>
      <c r="I140" s="308">
        <f t="shared" si="18"/>
        <v>81636.347701300911</v>
      </c>
      <c r="J140" s="1179">
        <f t="shared" si="18"/>
        <v>6435.2333844783361</v>
      </c>
      <c r="K140" s="24"/>
      <c r="L140" s="24"/>
      <c r="M140" s="24"/>
      <c r="N140" s="24"/>
      <c r="O140" s="24"/>
      <c r="P140" s="24"/>
      <c r="Q140" s="24"/>
      <c r="R140" s="24"/>
      <c r="S140" s="24"/>
      <c r="T140" s="24"/>
      <c r="U140" s="24"/>
      <c r="V140" s="24"/>
    </row>
    <row r="141" spans="1:22">
      <c r="A141" s="24"/>
      <c r="B141" s="1180" t="s">
        <v>3347</v>
      </c>
      <c r="C141" s="1181">
        <f t="shared" ref="C141:J141" si="19">C140-C139</f>
        <v>790.84305533862153</v>
      </c>
      <c r="D141" s="1181">
        <f t="shared" si="19"/>
        <v>1137.8571203007878</v>
      </c>
      <c r="E141" s="1181">
        <f t="shared" si="19"/>
        <v>1667.1159265745982</v>
      </c>
      <c r="F141" s="1181">
        <f t="shared" si="19"/>
        <v>2540.6230004146423</v>
      </c>
      <c r="G141" s="1181">
        <f t="shared" si="19"/>
        <v>4253.1042053983192</v>
      </c>
      <c r="H141" s="1181">
        <f t="shared" si="19"/>
        <v>9508.8082020124202</v>
      </c>
      <c r="I141" s="1181">
        <f t="shared" si="19"/>
        <v>80163.411675870535</v>
      </c>
      <c r="J141" s="1182">
        <f t="shared" si="19"/>
        <v>5218.7789200641073</v>
      </c>
      <c r="K141" s="24"/>
      <c r="L141" s="24"/>
      <c r="M141" s="24"/>
      <c r="N141" s="24"/>
      <c r="O141" s="24"/>
      <c r="P141" s="24"/>
      <c r="Q141" s="24"/>
      <c r="R141" s="24"/>
      <c r="S141" s="24"/>
      <c r="T141" s="24"/>
      <c r="U141" s="24"/>
      <c r="V141" s="24"/>
    </row>
    <row r="142" spans="1:22">
      <c r="A142" s="24"/>
      <c r="B142" s="56" t="s">
        <v>3348</v>
      </c>
      <c r="C142" s="57">
        <f t="shared" ref="C142:J142" si="20">-1*(C130-C146)</f>
        <v>-344.17745127632361</v>
      </c>
      <c r="D142" s="57">
        <f t="shared" si="20"/>
        <v>-464.65934753213742</v>
      </c>
      <c r="E142" s="57">
        <f t="shared" si="20"/>
        <v>-617.51050527232019</v>
      </c>
      <c r="F142" s="57">
        <f t="shared" si="20"/>
        <v>-804.68404121134563</v>
      </c>
      <c r="G142" s="57">
        <f t="shared" si="20"/>
        <v>-1024.2024249090634</v>
      </c>
      <c r="H142" s="57">
        <f t="shared" si="20"/>
        <v>-1268.9895389397143</v>
      </c>
      <c r="I142" s="57">
        <f t="shared" si="20"/>
        <v>-1527.0639745696308</v>
      </c>
      <c r="J142" s="57">
        <f t="shared" si="20"/>
        <v>-1783.5455355857709</v>
      </c>
      <c r="K142" s="24"/>
      <c r="L142" s="24"/>
      <c r="M142" s="24"/>
      <c r="N142" s="24"/>
      <c r="O142" s="24"/>
      <c r="P142" s="24"/>
      <c r="Q142" s="24"/>
      <c r="R142" s="24"/>
      <c r="S142" s="24"/>
      <c r="T142" s="24"/>
      <c r="U142" s="24"/>
      <c r="V142" s="24"/>
    </row>
    <row r="143" spans="1:22">
      <c r="A143" s="24"/>
      <c r="B143" s="496" t="s">
        <v>3349</v>
      </c>
      <c r="C143" s="497">
        <f t="shared" ref="C143:J143" si="21">(2*C130*(C130-C127)*C137)/(C137^2-(C130-C127)^2)</f>
        <v>790.84305533862175</v>
      </c>
      <c r="D143" s="497">
        <f t="shared" si="21"/>
        <v>1137.8571203007875</v>
      </c>
      <c r="E143" s="497">
        <f t="shared" si="21"/>
        <v>1667.1159265745982</v>
      </c>
      <c r="F143" s="497">
        <f t="shared" si="21"/>
        <v>2540.6230004146428</v>
      </c>
      <c r="G143" s="497">
        <f t="shared" si="21"/>
        <v>4253.1042053983192</v>
      </c>
      <c r="H143" s="497">
        <f t="shared" si="21"/>
        <v>9508.8082020124184</v>
      </c>
      <c r="I143" s="497">
        <f t="shared" si="21"/>
        <v>-83109.283726731228</v>
      </c>
      <c r="J143" s="497">
        <f t="shared" si="21"/>
        <v>-7651.6878488925668</v>
      </c>
      <c r="K143" s="24"/>
      <c r="L143" s="24"/>
      <c r="M143" s="24"/>
      <c r="N143" s="24"/>
      <c r="O143" s="24"/>
      <c r="P143" s="24"/>
      <c r="Q143" s="24"/>
      <c r="R143" s="24"/>
      <c r="S143" s="24"/>
      <c r="T143" s="24"/>
      <c r="U143" s="24"/>
      <c r="V143" s="24"/>
    </row>
    <row r="144" spans="1:22">
      <c r="A144" s="24"/>
      <c r="B144" s="56" t="s">
        <v>3350</v>
      </c>
      <c r="C144" s="57">
        <f t="shared" ref="C144:J144" si="22">C147-C130</f>
        <v>446.66560406229792</v>
      </c>
      <c r="D144" s="57">
        <f t="shared" si="22"/>
        <v>673.19777276864988</v>
      </c>
      <c r="E144" s="57">
        <f t="shared" si="22"/>
        <v>1049.6054213022776</v>
      </c>
      <c r="F144" s="57">
        <f t="shared" si="22"/>
        <v>1735.9389592032967</v>
      </c>
      <c r="G144" s="57">
        <f t="shared" si="22"/>
        <v>3228.9017804892555</v>
      </c>
      <c r="H144" s="57">
        <f t="shared" si="22"/>
        <v>8239.8186630727032</v>
      </c>
      <c r="I144" s="57">
        <f t="shared" si="22"/>
        <v>78636.347701301158</v>
      </c>
      <c r="J144" s="57">
        <f t="shared" si="22"/>
        <v>3435.233384478337</v>
      </c>
      <c r="K144" s="24"/>
      <c r="L144" s="24"/>
      <c r="M144" s="24"/>
      <c r="N144" s="24"/>
      <c r="O144" s="24"/>
      <c r="P144" s="24"/>
      <c r="Q144" s="24"/>
      <c r="R144" s="24"/>
      <c r="S144" s="24"/>
      <c r="T144" s="24"/>
      <c r="U144" s="24"/>
      <c r="V144" s="24"/>
    </row>
    <row r="145" spans="1:22">
      <c r="A145" s="24"/>
      <c r="B145" s="1175" t="s">
        <v>3351</v>
      </c>
      <c r="C145" s="1176">
        <f t="shared" ref="C145:J145" si="23">ABS(2*(ABS(C139)*ABS(C140))/(ABS(C139)+ABS(C140)))</f>
        <v>3000</v>
      </c>
      <c r="D145" s="1176">
        <f t="shared" si="23"/>
        <v>3000</v>
      </c>
      <c r="E145" s="1176">
        <f t="shared" si="23"/>
        <v>2999.9999999999995</v>
      </c>
      <c r="F145" s="1176">
        <f t="shared" si="23"/>
        <v>3000</v>
      </c>
      <c r="G145" s="1176">
        <f t="shared" si="23"/>
        <v>2999.9999999999991</v>
      </c>
      <c r="H145" s="1176">
        <f t="shared" si="23"/>
        <v>3000.0000000000005</v>
      </c>
      <c r="I145" s="1176">
        <f t="shared" si="23"/>
        <v>2893.6627082283503</v>
      </c>
      <c r="J145" s="1177">
        <f t="shared" si="23"/>
        <v>2046.128523454897</v>
      </c>
      <c r="K145" s="24"/>
      <c r="L145" s="24"/>
      <c r="M145" s="24"/>
      <c r="N145" s="24"/>
      <c r="O145" s="24"/>
      <c r="P145" s="24"/>
      <c r="Q145" s="24"/>
      <c r="R145" s="24"/>
      <c r="S145" s="24"/>
      <c r="T145" s="24"/>
      <c r="U145" s="24"/>
      <c r="V145" s="24"/>
    </row>
    <row r="146" spans="1:22">
      <c r="A146" s="24"/>
      <c r="B146" s="1178" t="s">
        <v>3352</v>
      </c>
      <c r="C146" s="308">
        <f t="shared" ref="C146:J146" si="24">ABS(ABS(C130)/(1+C128*C129*((ABS(C130)-C127)/C127^2)))</f>
        <v>2655.8225487236764</v>
      </c>
      <c r="D146" s="308">
        <f t="shared" si="24"/>
        <v>2535.3406524678626</v>
      </c>
      <c r="E146" s="308">
        <f t="shared" si="24"/>
        <v>2382.4894947276798</v>
      </c>
      <c r="F146" s="308">
        <f t="shared" si="24"/>
        <v>2195.3159587886544</v>
      </c>
      <c r="G146" s="308">
        <f t="shared" si="24"/>
        <v>1975.7975750909366</v>
      </c>
      <c r="H146" s="308">
        <f t="shared" si="24"/>
        <v>1731.0104610602857</v>
      </c>
      <c r="I146" s="308">
        <f t="shared" si="24"/>
        <v>1472.9360254303692</v>
      </c>
      <c r="J146" s="1179">
        <f t="shared" si="24"/>
        <v>1216.4544644142291</v>
      </c>
      <c r="L146" s="24"/>
      <c r="M146" s="24"/>
      <c r="N146" s="24"/>
      <c r="O146" s="24"/>
      <c r="P146" s="24"/>
      <c r="Q146" s="24"/>
      <c r="R146" s="24"/>
      <c r="S146" s="24"/>
      <c r="T146" s="24"/>
      <c r="U146" s="24"/>
      <c r="V146" s="24"/>
    </row>
    <row r="147" spans="1:22">
      <c r="A147" s="24"/>
      <c r="B147" s="1178" t="s">
        <v>3353</v>
      </c>
      <c r="C147" s="308">
        <f t="shared" ref="C147:J147" si="25">ABS(ABS(C130)/(1-C128*C129*((ABS(C130)-C127)/C127^2)))</f>
        <v>3446.6656040622979</v>
      </c>
      <c r="D147" s="308">
        <f t="shared" si="25"/>
        <v>3673.1977727686499</v>
      </c>
      <c r="E147" s="308">
        <f t="shared" si="25"/>
        <v>4049.6054213022776</v>
      </c>
      <c r="F147" s="308">
        <f t="shared" si="25"/>
        <v>4735.9389592032967</v>
      </c>
      <c r="G147" s="308">
        <f t="shared" si="25"/>
        <v>6228.9017804892555</v>
      </c>
      <c r="H147" s="308">
        <f t="shared" si="25"/>
        <v>11239.818663072703</v>
      </c>
      <c r="I147" s="308">
        <f t="shared" si="25"/>
        <v>81636.347701301158</v>
      </c>
      <c r="J147" s="1179">
        <f t="shared" si="25"/>
        <v>6435.233384478337</v>
      </c>
      <c r="K147" s="1606" t="s">
        <v>3356</v>
      </c>
      <c r="L147" s="24"/>
      <c r="M147" s="24"/>
      <c r="N147" s="24"/>
      <c r="O147" s="24"/>
      <c r="P147" s="24"/>
      <c r="Q147" s="24"/>
      <c r="R147" s="24"/>
      <c r="S147" s="24"/>
      <c r="T147" s="24"/>
      <c r="U147" s="24"/>
      <c r="V147" s="24"/>
    </row>
    <row r="148" spans="1:22">
      <c r="A148" s="24"/>
      <c r="B148" s="1180" t="s">
        <v>3354</v>
      </c>
      <c r="C148" s="1181">
        <f t="shared" ref="C148:J148" si="26">C147-C146</f>
        <v>790.84305533862153</v>
      </c>
      <c r="D148" s="1181">
        <f t="shared" si="26"/>
        <v>1137.8571203007873</v>
      </c>
      <c r="E148" s="1181">
        <f t="shared" si="26"/>
        <v>1667.1159265745978</v>
      </c>
      <c r="F148" s="1181">
        <f t="shared" si="26"/>
        <v>2540.6230004146423</v>
      </c>
      <c r="G148" s="1181">
        <f t="shared" si="26"/>
        <v>4253.1042053983192</v>
      </c>
      <c r="H148" s="1181">
        <f t="shared" si="26"/>
        <v>9508.8082020124166</v>
      </c>
      <c r="I148" s="1181">
        <f t="shared" si="26"/>
        <v>80163.411675870782</v>
      </c>
      <c r="J148" s="1182">
        <f t="shared" si="26"/>
        <v>5218.7789200641082</v>
      </c>
      <c r="K148" s="24"/>
      <c r="L148" s="24"/>
      <c r="M148" s="24"/>
      <c r="N148" s="24"/>
      <c r="O148" s="24"/>
      <c r="P148" s="24"/>
      <c r="Q148" s="24"/>
      <c r="R148" s="24"/>
      <c r="S148" s="24"/>
      <c r="T148" s="24"/>
      <c r="U148" s="24"/>
      <c r="V148" s="24"/>
    </row>
    <row r="149" spans="1:22">
      <c r="A149" s="24"/>
      <c r="B149" s="24"/>
      <c r="C149" s="1606" t="s">
        <v>3355</v>
      </c>
      <c r="D149" s="24"/>
      <c r="E149" s="24"/>
      <c r="F149" s="24"/>
      <c r="G149" s="24"/>
      <c r="H149" s="24"/>
      <c r="I149" s="24"/>
      <c r="J149" s="24"/>
      <c r="K149" s="24"/>
      <c r="L149" s="24"/>
      <c r="M149" s="24"/>
      <c r="N149" s="24"/>
      <c r="O149" s="24"/>
      <c r="P149" s="24"/>
      <c r="Q149" s="24"/>
      <c r="R149" s="24"/>
      <c r="S149" s="24"/>
      <c r="T149" s="24"/>
      <c r="U149" s="24"/>
      <c r="V149" s="24"/>
    </row>
    <row r="150" spans="1:22">
      <c r="A150" s="24"/>
      <c r="B150" s="346"/>
      <c r="C150" s="24"/>
      <c r="D150" s="24"/>
      <c r="E150" s="24"/>
      <c r="F150" s="24"/>
      <c r="G150" s="24"/>
      <c r="H150" s="24"/>
      <c r="I150" s="24"/>
      <c r="J150" s="24"/>
      <c r="K150" s="24"/>
      <c r="L150" s="24"/>
      <c r="M150" s="24"/>
      <c r="N150" s="24"/>
      <c r="O150" s="24"/>
      <c r="P150" s="24"/>
      <c r="Q150" s="24"/>
      <c r="R150" s="24"/>
      <c r="S150" s="24"/>
      <c r="T150" s="24"/>
      <c r="U150" s="24"/>
      <c r="V150" s="24"/>
    </row>
    <row r="151" spans="1:22">
      <c r="A151" s="24"/>
      <c r="B151" s="345" t="s">
        <v>4633</v>
      </c>
      <c r="C151" s="24"/>
      <c r="D151" s="24"/>
      <c r="E151" s="24"/>
      <c r="F151" s="24"/>
      <c r="G151" s="24"/>
      <c r="H151" s="24"/>
      <c r="I151" s="24"/>
      <c r="J151" s="24"/>
      <c r="K151" s="24"/>
      <c r="L151" s="24"/>
      <c r="M151" s="24"/>
      <c r="N151" s="24"/>
      <c r="O151" s="24"/>
      <c r="P151" s="24"/>
      <c r="Q151" s="24"/>
      <c r="R151" s="24"/>
      <c r="S151" s="24"/>
      <c r="T151" s="24"/>
      <c r="U151" s="24"/>
      <c r="V151" s="24"/>
    </row>
    <row r="152" spans="1:22">
      <c r="A152" s="24"/>
      <c r="B152" s="345"/>
      <c r="C152" s="346"/>
      <c r="D152" s="24"/>
      <c r="E152" s="24"/>
      <c r="F152" s="24"/>
      <c r="G152" s="24"/>
      <c r="H152" s="24"/>
      <c r="I152" s="24"/>
      <c r="J152" s="24"/>
      <c r="K152" s="24"/>
      <c r="L152" s="24"/>
      <c r="M152" s="24"/>
      <c r="N152" s="24"/>
      <c r="O152" s="24"/>
      <c r="P152" s="24"/>
      <c r="Q152" s="24"/>
      <c r="R152" s="24"/>
      <c r="S152" s="24"/>
      <c r="T152" s="24"/>
      <c r="U152" s="24"/>
      <c r="V152" s="24"/>
    </row>
    <row r="153" spans="1:22">
      <c r="A153" s="24"/>
      <c r="B153" s="1625" t="s">
        <v>4651</v>
      </c>
      <c r="C153" s="924" t="str">
        <f t="shared" ref="C153:J153" si="27">"1 zu "&amp;ROUND(C144/ABS(C142),2)</f>
        <v>1 zu 1,3</v>
      </c>
      <c r="D153" s="924" t="str">
        <f t="shared" si="27"/>
        <v>1 zu 1,45</v>
      </c>
      <c r="E153" s="924" t="str">
        <f t="shared" si="27"/>
        <v>1 zu 1,7</v>
      </c>
      <c r="F153" s="924" t="str">
        <f t="shared" si="27"/>
        <v>1 zu 2,16</v>
      </c>
      <c r="G153" s="924" t="str">
        <f t="shared" si="27"/>
        <v>1 zu 3,15</v>
      </c>
      <c r="H153" s="924" t="str">
        <f t="shared" si="27"/>
        <v>1 zu 6,49</v>
      </c>
      <c r="I153" s="924" t="str">
        <f t="shared" si="27"/>
        <v>1 zu 51,5</v>
      </c>
      <c r="J153" s="924" t="str">
        <f t="shared" si="27"/>
        <v>1 zu 1,93</v>
      </c>
      <c r="K153" s="24"/>
      <c r="L153" s="24"/>
      <c r="M153" s="24"/>
      <c r="N153" s="24"/>
      <c r="O153" s="24"/>
      <c r="P153" s="24"/>
      <c r="Q153" s="24"/>
      <c r="R153" s="24"/>
      <c r="S153" s="24"/>
      <c r="T153" s="24"/>
      <c r="U153" s="24"/>
      <c r="V153" s="24"/>
    </row>
    <row r="154" spans="1:22">
      <c r="A154" s="24"/>
      <c r="B154" s="37"/>
      <c r="C154" s="346"/>
      <c r="D154" s="24"/>
      <c r="E154" s="24"/>
      <c r="F154" s="24"/>
      <c r="G154" s="24"/>
      <c r="H154" s="24"/>
      <c r="I154" s="24"/>
      <c r="J154" s="24"/>
      <c r="K154" s="24"/>
      <c r="L154" s="24"/>
      <c r="M154" s="24"/>
      <c r="N154" s="24"/>
      <c r="O154" s="24"/>
      <c r="P154" s="24"/>
      <c r="Q154" s="24"/>
      <c r="R154" s="24"/>
      <c r="S154" s="24"/>
      <c r="T154" s="24"/>
      <c r="U154" s="24"/>
      <c r="V154" s="24"/>
    </row>
    <row r="155" spans="1:22">
      <c r="A155" s="24"/>
      <c r="B155" s="37"/>
      <c r="C155" s="346"/>
      <c r="D155" s="24"/>
      <c r="E155" s="24"/>
      <c r="F155" s="24"/>
      <c r="G155" s="24"/>
      <c r="H155" s="24"/>
      <c r="I155" s="24"/>
      <c r="J155" s="24"/>
      <c r="K155" s="24"/>
      <c r="L155" s="24"/>
      <c r="M155" s="24"/>
      <c r="N155" s="24"/>
      <c r="O155" s="24"/>
      <c r="P155" s="24"/>
      <c r="Q155" s="24"/>
      <c r="R155" s="24"/>
      <c r="S155" s="24"/>
      <c r="T155" s="24"/>
      <c r="U155" s="24"/>
      <c r="V155" s="24"/>
    </row>
    <row r="156" spans="1:22">
      <c r="A156" s="24"/>
      <c r="B156" s="37"/>
      <c r="C156" s="346"/>
      <c r="D156" s="24"/>
      <c r="E156" s="24"/>
      <c r="F156" s="24"/>
      <c r="G156" s="24"/>
      <c r="H156" s="24"/>
      <c r="I156" s="24"/>
      <c r="J156" s="24"/>
      <c r="K156" s="24"/>
      <c r="L156" s="24"/>
      <c r="M156" s="24"/>
      <c r="N156" s="24"/>
      <c r="O156" s="24"/>
      <c r="P156" s="24"/>
      <c r="Q156" s="24"/>
      <c r="R156" s="24"/>
      <c r="S156" s="24"/>
      <c r="T156" s="24"/>
      <c r="U156" s="24"/>
      <c r="V156" s="24"/>
    </row>
    <row r="157" spans="1:22">
      <c r="A157" s="24"/>
      <c r="B157" s="24"/>
      <c r="C157" s="346"/>
      <c r="D157" s="24"/>
      <c r="E157" s="24"/>
      <c r="F157" s="24"/>
      <c r="G157" s="24"/>
      <c r="H157" s="24"/>
      <c r="I157" s="24"/>
      <c r="J157" s="24"/>
      <c r="K157" s="24"/>
      <c r="L157" s="24"/>
      <c r="M157" s="24"/>
      <c r="N157" s="24"/>
      <c r="O157" s="24"/>
      <c r="P157" s="24"/>
      <c r="Q157" s="24"/>
      <c r="R157" s="24"/>
      <c r="S157" s="24"/>
      <c r="T157" s="24"/>
      <c r="U157" s="24"/>
      <c r="V157" s="24"/>
    </row>
    <row r="158" spans="1:22">
      <c r="A158" s="24"/>
      <c r="B158" s="24"/>
      <c r="C158" s="346"/>
      <c r="D158" s="24"/>
      <c r="E158" s="24"/>
      <c r="F158" s="24"/>
      <c r="G158" s="24"/>
      <c r="H158" s="24"/>
      <c r="I158" s="24"/>
      <c r="J158" s="24"/>
      <c r="K158" s="24"/>
      <c r="L158" s="24"/>
      <c r="M158" s="24"/>
      <c r="N158" s="24"/>
      <c r="O158" s="24"/>
      <c r="P158" s="24"/>
      <c r="Q158" s="24"/>
      <c r="R158" s="24"/>
      <c r="S158" s="24"/>
      <c r="T158" s="24"/>
      <c r="U158" s="24"/>
      <c r="V158" s="24"/>
    </row>
    <row r="159" spans="1:22">
      <c r="A159" s="24"/>
      <c r="B159" s="24"/>
      <c r="C159" s="346"/>
      <c r="D159" s="24"/>
      <c r="E159" s="24"/>
      <c r="F159" s="24"/>
      <c r="G159" s="24"/>
      <c r="H159" s="24"/>
      <c r="I159" s="24"/>
      <c r="J159" s="24"/>
      <c r="K159" s="24"/>
      <c r="L159" s="24"/>
      <c r="M159" s="24"/>
      <c r="N159" s="24"/>
      <c r="O159" s="24"/>
      <c r="P159" s="24"/>
      <c r="Q159" s="24"/>
      <c r="R159" s="24"/>
      <c r="S159" s="24"/>
      <c r="T159" s="24"/>
      <c r="U159" s="24"/>
      <c r="V159" s="24"/>
    </row>
    <row r="160" spans="1:22">
      <c r="A160" s="24"/>
      <c r="B160" s="24"/>
      <c r="C160" s="346"/>
      <c r="D160" s="24"/>
      <c r="E160" s="24"/>
      <c r="F160" s="24"/>
      <c r="G160" s="24"/>
      <c r="H160" s="24"/>
      <c r="I160" s="24"/>
      <c r="J160" s="24"/>
      <c r="K160" s="24"/>
      <c r="L160" s="24"/>
      <c r="M160" s="24"/>
      <c r="N160" s="24"/>
      <c r="O160" s="24"/>
      <c r="P160" s="24"/>
      <c r="Q160" s="24"/>
      <c r="R160" s="24"/>
      <c r="S160" s="24"/>
      <c r="T160" s="24"/>
      <c r="U160" s="24"/>
      <c r="V160" s="24"/>
    </row>
    <row r="161" spans="1:22">
      <c r="A161" s="24"/>
      <c r="B161" s="24"/>
      <c r="C161" s="346"/>
      <c r="D161" s="24"/>
      <c r="E161" s="24"/>
      <c r="F161" s="24"/>
      <c r="G161" s="24"/>
      <c r="H161" s="24"/>
      <c r="I161" s="24"/>
      <c r="J161" s="24"/>
      <c r="K161" s="24"/>
      <c r="L161" s="24"/>
      <c r="M161" s="24"/>
      <c r="N161" s="24"/>
      <c r="O161" s="24"/>
      <c r="P161" s="24"/>
      <c r="Q161" s="24"/>
      <c r="R161" s="24"/>
      <c r="S161" s="24"/>
      <c r="T161" s="24"/>
      <c r="U161" s="24"/>
      <c r="V161" s="24"/>
    </row>
    <row r="162" spans="1:22">
      <c r="A162" s="24"/>
      <c r="B162" s="24"/>
      <c r="C162" s="346"/>
      <c r="D162" s="24"/>
      <c r="E162" s="24"/>
      <c r="F162" s="24"/>
      <c r="G162" s="24"/>
      <c r="H162" s="24"/>
      <c r="I162" s="24"/>
      <c r="J162" s="24"/>
      <c r="K162" s="24"/>
      <c r="L162" s="24"/>
      <c r="M162" s="24"/>
      <c r="N162" s="24"/>
      <c r="O162" s="24"/>
      <c r="P162" s="24"/>
      <c r="Q162" s="24"/>
      <c r="R162" s="24"/>
      <c r="S162" s="24"/>
      <c r="T162" s="24"/>
      <c r="U162" s="24"/>
      <c r="V162" s="24"/>
    </row>
    <row r="163" spans="1:22">
      <c r="A163" s="24"/>
      <c r="B163" s="24"/>
      <c r="C163" s="346"/>
      <c r="D163" s="24"/>
      <c r="E163" s="24"/>
      <c r="F163" s="24"/>
      <c r="G163" s="24"/>
      <c r="H163" s="24"/>
      <c r="I163" s="24"/>
      <c r="J163" s="24"/>
      <c r="K163" s="24"/>
      <c r="L163" s="24"/>
      <c r="M163" s="24"/>
      <c r="N163" s="24"/>
      <c r="O163" s="24"/>
      <c r="P163" s="24"/>
      <c r="Q163" s="24"/>
      <c r="R163" s="24"/>
      <c r="S163" s="24"/>
      <c r="T163" s="24"/>
      <c r="U163" s="24"/>
      <c r="V163" s="24"/>
    </row>
    <row r="164" spans="1:22">
      <c r="A164" s="24"/>
      <c r="B164" s="24"/>
      <c r="C164" s="346"/>
      <c r="D164" s="24"/>
      <c r="E164" s="24"/>
      <c r="F164" s="24"/>
      <c r="G164" s="24"/>
      <c r="H164" s="24"/>
      <c r="I164" s="24"/>
      <c r="J164" s="24"/>
      <c r="K164" s="24"/>
      <c r="L164" s="24"/>
      <c r="M164" s="24"/>
      <c r="N164" s="24"/>
      <c r="O164" s="24"/>
      <c r="P164" s="24"/>
      <c r="Q164" s="24"/>
      <c r="R164" s="24"/>
      <c r="S164" s="24"/>
      <c r="T164" s="24"/>
      <c r="U164" s="24"/>
      <c r="V164" s="24"/>
    </row>
    <row r="165" spans="1:22">
      <c r="A165" s="24"/>
      <c r="B165" s="24"/>
      <c r="C165" s="346"/>
      <c r="D165" s="24"/>
      <c r="E165" s="24"/>
      <c r="F165" s="24"/>
      <c r="G165" s="24"/>
      <c r="H165" s="24"/>
      <c r="I165" s="24"/>
      <c r="J165" s="24"/>
      <c r="K165" s="24"/>
      <c r="L165" s="24"/>
      <c r="M165" s="24"/>
      <c r="N165" s="24"/>
      <c r="O165" s="24"/>
      <c r="P165" s="24"/>
      <c r="Q165" s="24"/>
      <c r="R165" s="24"/>
      <c r="S165" s="24"/>
      <c r="T165" s="24"/>
      <c r="U165" s="24"/>
      <c r="V165" s="24"/>
    </row>
    <row r="166" spans="1:22">
      <c r="A166" s="24"/>
      <c r="B166" s="24"/>
      <c r="C166" s="346"/>
      <c r="D166" s="24"/>
      <c r="E166" s="24"/>
      <c r="F166" s="24"/>
      <c r="G166" s="24"/>
      <c r="H166" s="24"/>
      <c r="I166" s="24"/>
      <c r="J166" s="24"/>
      <c r="K166" s="24"/>
      <c r="L166" s="24"/>
      <c r="M166" s="24"/>
      <c r="N166" s="24"/>
      <c r="O166" s="24"/>
      <c r="P166" s="24"/>
      <c r="Q166" s="24"/>
      <c r="R166" s="24"/>
      <c r="S166" s="24"/>
      <c r="T166" s="24"/>
      <c r="U166" s="24"/>
      <c r="V166" s="24"/>
    </row>
    <row r="167" spans="1:22">
      <c r="A167" s="24"/>
      <c r="B167" s="24"/>
      <c r="C167" s="346"/>
      <c r="D167" s="24"/>
      <c r="E167" s="24"/>
      <c r="F167" s="24"/>
      <c r="G167" s="24"/>
      <c r="H167" s="24"/>
      <c r="I167" s="24"/>
      <c r="J167" s="24"/>
      <c r="K167" s="24"/>
      <c r="L167" s="24"/>
      <c r="M167" s="24"/>
      <c r="N167" s="24"/>
      <c r="O167" s="24"/>
      <c r="P167" s="24"/>
      <c r="Q167" s="24"/>
      <c r="R167" s="24"/>
      <c r="S167" s="24"/>
      <c r="T167" s="24"/>
      <c r="U167" s="24"/>
      <c r="V167" s="24"/>
    </row>
    <row r="168" spans="1:22">
      <c r="A168" s="24"/>
      <c r="B168" s="24"/>
      <c r="C168" s="346"/>
      <c r="D168" s="24"/>
      <c r="E168" s="24"/>
      <c r="F168" s="24"/>
      <c r="G168" s="24"/>
      <c r="H168" s="24"/>
      <c r="I168" s="24"/>
      <c r="J168" s="24"/>
      <c r="K168" s="24"/>
      <c r="L168" s="24"/>
      <c r="M168" s="24"/>
      <c r="N168" s="24"/>
      <c r="O168" s="24"/>
      <c r="P168" s="24"/>
      <c r="Q168" s="24"/>
      <c r="R168" s="24"/>
      <c r="S168" s="24"/>
      <c r="T168" s="24"/>
      <c r="U168" s="24"/>
      <c r="V168" s="24"/>
    </row>
    <row r="169" spans="1:22">
      <c r="A169" s="24"/>
      <c r="B169" s="24"/>
      <c r="C169" s="346"/>
      <c r="D169" s="24"/>
      <c r="E169" s="24"/>
      <c r="F169" s="24"/>
      <c r="G169" s="24"/>
      <c r="H169" s="24"/>
      <c r="I169" s="24"/>
      <c r="J169" s="24"/>
      <c r="K169" s="24"/>
      <c r="L169" s="24"/>
      <c r="M169" s="24"/>
      <c r="N169" s="24"/>
      <c r="O169" s="24"/>
      <c r="P169" s="24"/>
      <c r="Q169" s="24"/>
      <c r="R169" s="24"/>
      <c r="S169" s="24"/>
      <c r="T169" s="24"/>
      <c r="U169" s="24"/>
      <c r="V169" s="24"/>
    </row>
    <row r="170" spans="1:22">
      <c r="A170" s="24"/>
      <c r="B170" s="24"/>
      <c r="C170" s="346"/>
      <c r="D170" s="24"/>
      <c r="E170" s="24"/>
      <c r="F170" s="24"/>
      <c r="G170" s="24"/>
      <c r="H170" s="24"/>
      <c r="I170" s="24"/>
      <c r="J170" s="24"/>
      <c r="K170" s="24"/>
      <c r="L170" s="24"/>
      <c r="M170" s="24"/>
      <c r="N170" s="24"/>
      <c r="O170" s="24"/>
      <c r="P170" s="24"/>
      <c r="Q170" s="24"/>
      <c r="R170" s="24"/>
      <c r="S170" s="24"/>
      <c r="T170" s="24"/>
      <c r="U170" s="24"/>
      <c r="V170" s="24"/>
    </row>
    <row r="171" spans="1:22">
      <c r="A171" s="24"/>
      <c r="B171" s="24"/>
      <c r="C171" s="346"/>
      <c r="D171" s="24"/>
      <c r="E171" s="24"/>
      <c r="F171" s="24"/>
      <c r="G171" s="24"/>
      <c r="H171" s="24"/>
      <c r="I171" s="24"/>
      <c r="J171" s="24"/>
      <c r="K171" s="24"/>
      <c r="L171" s="24"/>
      <c r="M171" s="24"/>
      <c r="N171" s="24"/>
      <c r="O171" s="24"/>
      <c r="P171" s="24"/>
      <c r="Q171" s="24"/>
      <c r="R171" s="24"/>
      <c r="S171" s="24"/>
      <c r="T171" s="24"/>
      <c r="U171" s="24"/>
      <c r="V171" s="24"/>
    </row>
    <row r="172" spans="1:22">
      <c r="A172" s="24"/>
      <c r="B172" s="24"/>
      <c r="C172" s="346"/>
      <c r="D172" s="24"/>
      <c r="E172" s="24"/>
      <c r="F172" s="24"/>
      <c r="G172" s="24"/>
      <c r="H172" s="24"/>
      <c r="I172" s="24"/>
      <c r="J172" s="24"/>
      <c r="K172" s="24"/>
      <c r="L172" s="24"/>
      <c r="M172" s="24"/>
      <c r="N172" s="24"/>
      <c r="O172" s="24"/>
      <c r="P172" s="24"/>
      <c r="Q172" s="24"/>
      <c r="R172" s="24"/>
      <c r="S172" s="24"/>
      <c r="T172" s="24"/>
      <c r="U172" s="24"/>
      <c r="V172" s="24"/>
    </row>
    <row r="173" spans="1:22">
      <c r="A173" s="24"/>
      <c r="B173" s="24"/>
      <c r="C173" s="346"/>
      <c r="D173" s="24"/>
      <c r="E173" s="24"/>
      <c r="F173" s="24"/>
      <c r="G173" s="24"/>
      <c r="H173" s="24"/>
      <c r="I173" s="24"/>
      <c r="J173" s="24"/>
      <c r="K173" s="24"/>
      <c r="L173" s="24"/>
      <c r="M173" s="24"/>
      <c r="N173" s="24"/>
      <c r="O173" s="24"/>
      <c r="P173" s="24"/>
      <c r="Q173" s="24"/>
      <c r="R173" s="24"/>
      <c r="S173" s="24"/>
      <c r="T173" s="24"/>
      <c r="U173" s="24"/>
      <c r="V173" s="24"/>
    </row>
    <row r="174" spans="1:22">
      <c r="A174" s="24"/>
      <c r="B174" s="24"/>
      <c r="C174" s="346"/>
      <c r="D174" s="24"/>
      <c r="E174" s="24"/>
      <c r="F174" s="24"/>
      <c r="G174" s="24"/>
      <c r="H174" s="24"/>
      <c r="I174" s="24"/>
      <c r="J174" s="24"/>
      <c r="K174" s="24"/>
      <c r="L174" s="24"/>
      <c r="M174" s="24"/>
      <c r="N174" s="24"/>
      <c r="O174" s="24"/>
      <c r="P174" s="24"/>
      <c r="Q174" s="24"/>
      <c r="R174" s="24"/>
      <c r="S174" s="24"/>
      <c r="T174" s="24"/>
      <c r="U174" s="24"/>
      <c r="V174" s="24"/>
    </row>
    <row r="175" spans="1:22">
      <c r="A175" s="24"/>
      <c r="B175" s="24"/>
      <c r="C175" s="346"/>
      <c r="D175" s="24"/>
      <c r="E175" s="24"/>
      <c r="F175" s="24"/>
      <c r="G175" s="24"/>
      <c r="H175" s="24"/>
      <c r="I175" s="24"/>
      <c r="J175" s="24"/>
      <c r="K175" s="24"/>
      <c r="L175" s="24"/>
      <c r="M175" s="24"/>
      <c r="N175" s="24"/>
      <c r="O175" s="24"/>
      <c r="P175" s="24"/>
      <c r="Q175" s="24"/>
      <c r="R175" s="24"/>
      <c r="S175" s="24"/>
      <c r="T175" s="24"/>
      <c r="U175" s="24"/>
      <c r="V175" s="24"/>
    </row>
    <row r="176" spans="1:22">
      <c r="A176" s="24"/>
      <c r="B176" s="24"/>
      <c r="C176" s="346"/>
      <c r="D176" s="24"/>
      <c r="E176" s="24"/>
      <c r="F176" s="24"/>
      <c r="G176" s="24"/>
      <c r="H176" s="24"/>
      <c r="I176" s="24"/>
      <c r="J176" s="24"/>
      <c r="K176" s="24"/>
      <c r="L176" s="24"/>
      <c r="M176" s="24"/>
      <c r="N176" s="24"/>
      <c r="O176" s="24"/>
      <c r="P176" s="24"/>
      <c r="Q176" s="24"/>
      <c r="R176" s="24"/>
      <c r="S176" s="24"/>
      <c r="T176" s="24"/>
      <c r="U176" s="24"/>
      <c r="V176" s="24"/>
    </row>
    <row r="177" spans="1:22">
      <c r="A177" s="24"/>
      <c r="B177" s="24"/>
      <c r="C177" s="346"/>
      <c r="D177" s="24"/>
      <c r="E177" s="24"/>
      <c r="F177" s="24"/>
      <c r="G177" s="24"/>
      <c r="H177" s="24"/>
      <c r="I177" s="24"/>
      <c r="J177" s="24"/>
      <c r="K177" s="24"/>
      <c r="L177" s="24"/>
      <c r="M177" s="24"/>
      <c r="N177" s="24"/>
      <c r="O177" s="24"/>
      <c r="P177" s="24"/>
      <c r="Q177" s="24"/>
      <c r="R177" s="24"/>
      <c r="S177" s="24"/>
      <c r="T177" s="24"/>
      <c r="U177" s="24"/>
      <c r="V177" s="24"/>
    </row>
    <row r="178" spans="1:22">
      <c r="A178" s="24"/>
      <c r="B178" s="24"/>
      <c r="C178" s="346"/>
      <c r="D178" s="24"/>
      <c r="E178" s="24"/>
      <c r="F178" s="24"/>
      <c r="G178" s="24"/>
      <c r="H178" s="24"/>
      <c r="I178" s="24"/>
      <c r="J178" s="24"/>
      <c r="K178" s="24"/>
      <c r="L178" s="24"/>
      <c r="M178" s="24"/>
      <c r="N178" s="24"/>
      <c r="O178" s="24"/>
      <c r="P178" s="24"/>
      <c r="Q178" s="24"/>
      <c r="R178" s="24"/>
      <c r="S178" s="24"/>
      <c r="T178" s="24"/>
      <c r="U178" s="24"/>
      <c r="V178" s="24"/>
    </row>
    <row r="179" spans="1:22">
      <c r="A179" s="24"/>
      <c r="B179" s="24"/>
      <c r="C179" s="346"/>
      <c r="D179" s="24"/>
      <c r="E179" s="24"/>
      <c r="F179" s="24"/>
      <c r="G179" s="24"/>
      <c r="H179" s="24"/>
      <c r="I179" s="24"/>
      <c r="J179" s="24"/>
      <c r="K179" s="24"/>
      <c r="L179" s="24"/>
      <c r="M179" s="24"/>
      <c r="N179" s="24"/>
      <c r="O179" s="24"/>
      <c r="P179" s="24"/>
      <c r="Q179" s="24"/>
      <c r="R179" s="24"/>
      <c r="S179" s="24"/>
      <c r="T179" s="24"/>
      <c r="U179" s="24"/>
      <c r="V179" s="24"/>
    </row>
    <row r="180" spans="1:22">
      <c r="A180" s="24"/>
      <c r="B180" s="24"/>
      <c r="C180" s="346"/>
      <c r="D180" s="24"/>
      <c r="E180" s="24"/>
      <c r="F180" s="24"/>
      <c r="G180" s="24"/>
      <c r="H180" s="24"/>
      <c r="I180" s="24"/>
      <c r="J180" s="24"/>
      <c r="K180" s="24"/>
      <c r="L180" s="24"/>
      <c r="M180" s="24"/>
      <c r="N180" s="24"/>
      <c r="O180" s="24"/>
      <c r="P180" s="24"/>
      <c r="Q180" s="24"/>
      <c r="R180" s="24"/>
      <c r="S180" s="24"/>
      <c r="T180" s="24"/>
      <c r="U180" s="24"/>
      <c r="V180" s="24"/>
    </row>
    <row r="181" spans="1:22">
      <c r="A181" s="24"/>
      <c r="B181" s="24"/>
      <c r="C181" s="346"/>
      <c r="D181" s="24"/>
      <c r="E181" s="24"/>
      <c r="F181" s="24"/>
      <c r="G181" s="24"/>
      <c r="H181" s="24"/>
      <c r="I181" s="24"/>
      <c r="J181" s="24"/>
      <c r="K181" s="24"/>
      <c r="L181" s="24"/>
      <c r="M181" s="24"/>
      <c r="N181" s="24"/>
      <c r="O181" s="24"/>
      <c r="P181" s="24"/>
      <c r="Q181" s="24"/>
      <c r="R181" s="24"/>
      <c r="S181" s="24"/>
      <c r="T181" s="24"/>
      <c r="U181" s="24"/>
      <c r="V181" s="24"/>
    </row>
    <row r="182" spans="1:22">
      <c r="A182" s="24"/>
      <c r="B182" s="24"/>
      <c r="C182" s="346"/>
      <c r="D182" s="24"/>
      <c r="E182" s="24"/>
      <c r="F182" s="24"/>
      <c r="G182" s="24"/>
      <c r="H182" s="24"/>
      <c r="I182" s="24"/>
      <c r="J182" s="24"/>
      <c r="K182" s="24"/>
      <c r="L182" s="24"/>
      <c r="M182" s="24"/>
      <c r="N182" s="24"/>
      <c r="O182" s="24"/>
      <c r="P182" s="24"/>
      <c r="Q182" s="24"/>
      <c r="R182" s="24"/>
      <c r="S182" s="24"/>
      <c r="T182" s="24"/>
      <c r="U182" s="24"/>
      <c r="V182" s="24"/>
    </row>
    <row r="183" spans="1:22">
      <c r="A183" s="24"/>
      <c r="B183" s="24"/>
      <c r="C183" s="346"/>
      <c r="D183" s="24"/>
      <c r="E183" s="24"/>
      <c r="F183" s="24"/>
      <c r="G183" s="24"/>
      <c r="H183" s="24"/>
      <c r="I183" s="24"/>
      <c r="J183" s="24"/>
      <c r="K183" s="24"/>
      <c r="L183" s="24"/>
      <c r="M183" s="24"/>
      <c r="N183" s="24"/>
      <c r="O183" s="24"/>
      <c r="P183" s="24"/>
      <c r="Q183" s="24"/>
      <c r="R183" s="24"/>
      <c r="S183" s="24"/>
      <c r="T183" s="24"/>
      <c r="U183" s="24"/>
      <c r="V183" s="24"/>
    </row>
    <row r="184" spans="1:22">
      <c r="A184" s="24"/>
      <c r="B184" s="24"/>
      <c r="C184" s="346"/>
      <c r="D184" s="24"/>
      <c r="E184" s="24"/>
      <c r="F184" s="24"/>
      <c r="G184" s="24"/>
      <c r="H184" s="24"/>
      <c r="I184" s="24"/>
      <c r="J184" s="24"/>
      <c r="K184" s="24"/>
      <c r="L184" s="24"/>
      <c r="M184" s="24"/>
      <c r="N184" s="24"/>
      <c r="O184" s="24"/>
      <c r="P184" s="24"/>
      <c r="Q184" s="24"/>
      <c r="R184" s="24"/>
      <c r="S184" s="24"/>
      <c r="T184" s="24"/>
      <c r="U184" s="24"/>
      <c r="V184" s="24"/>
    </row>
    <row r="185" spans="1:22">
      <c r="A185" s="24"/>
      <c r="B185" s="24"/>
      <c r="C185" s="346"/>
      <c r="D185" s="24"/>
      <c r="E185" s="24"/>
      <c r="F185" s="24"/>
      <c r="G185" s="24"/>
      <c r="H185" s="24"/>
      <c r="I185" s="24"/>
      <c r="J185" s="24"/>
      <c r="K185" s="24"/>
      <c r="L185" s="24"/>
      <c r="M185" s="24"/>
      <c r="N185" s="24"/>
      <c r="O185" s="24"/>
      <c r="P185" s="24"/>
      <c r="Q185" s="24"/>
      <c r="R185" s="24"/>
      <c r="S185" s="24"/>
      <c r="T185" s="24"/>
      <c r="U185" s="24"/>
      <c r="V185" s="24"/>
    </row>
    <row r="186" spans="1:22">
      <c r="A186" s="24"/>
      <c r="B186" s="24"/>
      <c r="C186" s="346"/>
      <c r="D186" s="24"/>
      <c r="E186" s="24"/>
      <c r="F186" s="24"/>
      <c r="G186" s="24"/>
      <c r="H186" s="24"/>
      <c r="I186" s="24"/>
      <c r="J186" s="24"/>
      <c r="K186" s="24"/>
      <c r="L186" s="24"/>
      <c r="M186" s="24"/>
      <c r="N186" s="24"/>
      <c r="O186" s="24"/>
      <c r="P186" s="24"/>
      <c r="Q186" s="24"/>
      <c r="R186" s="24"/>
      <c r="S186" s="24"/>
      <c r="T186" s="24"/>
      <c r="U186" s="24"/>
      <c r="V186" s="24"/>
    </row>
    <row r="187" spans="1:22">
      <c r="A187" s="24"/>
      <c r="B187" s="24"/>
      <c r="C187" s="346"/>
      <c r="D187" s="24"/>
      <c r="E187" s="24"/>
      <c r="F187" s="24"/>
      <c r="G187" s="24"/>
      <c r="H187" s="24"/>
      <c r="I187" s="24"/>
      <c r="J187" s="24"/>
      <c r="K187" s="24"/>
      <c r="L187" s="24"/>
      <c r="M187" s="24"/>
      <c r="N187" s="24"/>
      <c r="O187" s="24"/>
      <c r="P187" s="24"/>
      <c r="Q187" s="24"/>
      <c r="R187" s="24"/>
      <c r="S187" s="24"/>
      <c r="T187" s="24"/>
      <c r="U187" s="24"/>
      <c r="V187" s="24"/>
    </row>
    <row r="188" spans="1:22">
      <c r="A188" s="24"/>
      <c r="B188" s="24"/>
      <c r="C188" s="346"/>
      <c r="D188" s="24"/>
      <c r="E188" s="24"/>
      <c r="F188" s="24"/>
      <c r="G188" s="24"/>
      <c r="H188" s="24"/>
      <c r="I188" s="24"/>
      <c r="J188" s="24"/>
      <c r="K188" s="24"/>
      <c r="L188" s="24"/>
      <c r="M188" s="24"/>
      <c r="N188" s="24"/>
      <c r="O188" s="24"/>
      <c r="P188" s="24"/>
      <c r="Q188" s="24"/>
      <c r="R188" s="24"/>
      <c r="S188" s="24"/>
      <c r="T188" s="24"/>
      <c r="U188" s="24"/>
      <c r="V188" s="24"/>
    </row>
    <row r="189" spans="1:22">
      <c r="A189" s="24"/>
      <c r="B189" s="24"/>
      <c r="C189" s="346"/>
      <c r="D189" s="24"/>
      <c r="E189" s="24"/>
      <c r="F189" s="24"/>
      <c r="G189" s="24"/>
      <c r="H189" s="24"/>
      <c r="I189" s="24"/>
      <c r="J189" s="24"/>
      <c r="K189" s="24"/>
      <c r="L189" s="24"/>
      <c r="M189" s="24"/>
      <c r="N189" s="24"/>
      <c r="O189" s="24"/>
      <c r="P189" s="24"/>
      <c r="Q189" s="24"/>
      <c r="R189" s="24"/>
      <c r="S189" s="24"/>
      <c r="T189" s="24"/>
      <c r="U189" s="24"/>
      <c r="V189" s="24"/>
    </row>
    <row r="190" spans="1:22">
      <c r="A190" s="24"/>
      <c r="B190" s="24"/>
      <c r="C190" s="346"/>
      <c r="D190" s="24"/>
      <c r="E190" s="24"/>
      <c r="F190" s="24"/>
      <c r="G190" s="24"/>
      <c r="H190" s="24"/>
      <c r="I190" s="24"/>
      <c r="J190" s="24"/>
      <c r="K190" s="24"/>
      <c r="L190" s="24"/>
      <c r="M190" s="24"/>
      <c r="N190" s="24"/>
      <c r="O190" s="24"/>
      <c r="P190" s="24"/>
      <c r="Q190" s="24"/>
      <c r="R190" s="24"/>
      <c r="S190" s="24"/>
      <c r="T190" s="24"/>
      <c r="U190" s="24"/>
      <c r="V190" s="24"/>
    </row>
    <row r="191" spans="1:22">
      <c r="A191" s="24"/>
      <c r="B191" s="24"/>
      <c r="C191" s="346"/>
      <c r="D191" s="24"/>
      <c r="E191" s="24"/>
      <c r="F191" s="24"/>
      <c r="G191" s="24"/>
      <c r="H191" s="24"/>
      <c r="I191" s="24"/>
      <c r="J191" s="24"/>
      <c r="K191" s="24"/>
      <c r="L191" s="24"/>
      <c r="M191" s="24"/>
      <c r="N191" s="24"/>
      <c r="O191" s="24"/>
      <c r="P191" s="24"/>
      <c r="Q191" s="24"/>
      <c r="R191" s="24"/>
      <c r="S191" s="24"/>
      <c r="T191" s="24"/>
      <c r="U191" s="24"/>
      <c r="V191" s="24"/>
    </row>
    <row r="192" spans="1:22">
      <c r="A192" s="24"/>
      <c r="B192" s="24"/>
      <c r="C192" s="346"/>
      <c r="D192" s="24"/>
      <c r="E192" s="24"/>
      <c r="F192" s="24"/>
      <c r="G192" s="24"/>
      <c r="H192" s="24"/>
      <c r="I192" s="24"/>
      <c r="J192" s="24"/>
      <c r="K192" s="24"/>
      <c r="L192" s="24"/>
      <c r="M192" s="24"/>
      <c r="N192" s="24"/>
      <c r="O192" s="24"/>
      <c r="P192" s="24"/>
      <c r="Q192" s="24"/>
      <c r="R192" s="24"/>
      <c r="S192" s="24"/>
      <c r="T192" s="24"/>
      <c r="U192" s="24"/>
      <c r="V192" s="24"/>
    </row>
    <row r="193" spans="1:22">
      <c r="A193" s="24"/>
      <c r="B193" s="24"/>
      <c r="C193" s="346"/>
      <c r="D193" s="24"/>
      <c r="E193" s="24"/>
      <c r="F193" s="24"/>
      <c r="G193" s="24"/>
      <c r="H193" s="24"/>
      <c r="I193" s="24"/>
      <c r="J193" s="24"/>
      <c r="K193" s="24"/>
      <c r="L193" s="24"/>
      <c r="M193" s="24"/>
      <c r="N193" s="24"/>
      <c r="O193" s="24"/>
      <c r="P193" s="24"/>
      <c r="Q193" s="24"/>
      <c r="R193" s="24"/>
      <c r="S193" s="24"/>
      <c r="T193" s="24"/>
      <c r="U193" s="24"/>
      <c r="V193" s="24"/>
    </row>
    <row r="194" spans="1:22">
      <c r="A194" s="24"/>
      <c r="B194" s="24"/>
      <c r="C194" s="346"/>
      <c r="D194" s="24"/>
      <c r="E194" s="24"/>
      <c r="F194" s="24"/>
      <c r="G194" s="24"/>
      <c r="H194" s="24"/>
      <c r="I194" s="24"/>
      <c r="J194" s="24"/>
      <c r="K194" s="24"/>
      <c r="L194" s="24"/>
      <c r="M194" s="24"/>
      <c r="N194" s="24"/>
      <c r="O194" s="24"/>
      <c r="P194" s="24"/>
      <c r="Q194" s="24"/>
      <c r="R194" s="24"/>
      <c r="S194" s="24"/>
      <c r="T194" s="24"/>
      <c r="U194" s="24"/>
      <c r="V194" s="24"/>
    </row>
    <row r="195" spans="1:22">
      <c r="A195" s="24"/>
      <c r="B195" s="24"/>
      <c r="C195" s="346"/>
      <c r="D195" s="24"/>
      <c r="E195" s="24"/>
      <c r="F195" s="24"/>
      <c r="G195" s="24"/>
      <c r="H195" s="24"/>
      <c r="I195" s="24"/>
      <c r="J195" s="24"/>
      <c r="K195" s="24"/>
      <c r="L195" s="24"/>
      <c r="M195" s="24"/>
      <c r="N195" s="24"/>
      <c r="O195" s="24"/>
      <c r="P195" s="24"/>
      <c r="Q195" s="24"/>
      <c r="R195" s="24"/>
      <c r="S195" s="24"/>
      <c r="T195" s="24"/>
      <c r="U195" s="24"/>
      <c r="V195" s="24"/>
    </row>
    <row r="196" spans="1:22">
      <c r="A196" s="24"/>
      <c r="B196" s="24"/>
      <c r="C196" s="346"/>
      <c r="D196" s="24"/>
      <c r="E196" s="24"/>
      <c r="F196" s="24"/>
      <c r="G196" s="24"/>
      <c r="H196" s="24"/>
      <c r="I196" s="24"/>
      <c r="J196" s="24"/>
      <c r="K196" s="24"/>
      <c r="L196" s="24"/>
      <c r="M196" s="24"/>
      <c r="N196" s="24"/>
      <c r="O196" s="24"/>
      <c r="P196" s="24"/>
      <c r="Q196" s="24"/>
      <c r="R196" s="24"/>
      <c r="S196" s="24"/>
      <c r="T196" s="24"/>
      <c r="U196" s="24"/>
      <c r="V196" s="24"/>
    </row>
    <row r="197" spans="1:22">
      <c r="A197" s="24"/>
      <c r="B197" s="24"/>
      <c r="C197" s="346"/>
      <c r="D197" s="24"/>
      <c r="E197" s="24"/>
      <c r="F197" s="24"/>
      <c r="G197" s="24"/>
      <c r="H197" s="24"/>
      <c r="I197" s="24"/>
      <c r="J197" s="24"/>
      <c r="K197" s="24"/>
      <c r="L197" s="24"/>
      <c r="M197" s="24"/>
      <c r="N197" s="24"/>
      <c r="O197" s="24"/>
      <c r="P197" s="24"/>
      <c r="Q197" s="24"/>
      <c r="R197" s="24"/>
      <c r="S197" s="24"/>
      <c r="T197" s="24"/>
      <c r="U197" s="24"/>
      <c r="V197" s="24"/>
    </row>
    <row r="198" spans="1:22">
      <c r="A198" s="24"/>
      <c r="B198" s="24"/>
      <c r="C198" s="346"/>
      <c r="D198" s="24"/>
      <c r="E198" s="24"/>
      <c r="F198" s="24"/>
      <c r="G198" s="24"/>
      <c r="H198" s="24"/>
      <c r="I198" s="24"/>
      <c r="J198" s="24"/>
      <c r="K198" s="24"/>
      <c r="L198" s="24"/>
      <c r="M198" s="24"/>
      <c r="N198" s="24"/>
      <c r="O198" s="24"/>
      <c r="P198" s="24"/>
      <c r="Q198" s="24"/>
      <c r="R198" s="24"/>
      <c r="S198" s="24"/>
      <c r="T198" s="24"/>
      <c r="U198" s="24"/>
      <c r="V198" s="24"/>
    </row>
    <row r="199" spans="1:22">
      <c r="A199" s="24"/>
      <c r="B199" s="24"/>
      <c r="C199" s="346"/>
      <c r="D199" s="24"/>
      <c r="E199" s="24"/>
      <c r="F199" s="24"/>
      <c r="G199" s="24"/>
      <c r="H199" s="24"/>
      <c r="I199" s="24"/>
      <c r="J199" s="24"/>
      <c r="K199" s="24"/>
      <c r="L199" s="24"/>
      <c r="M199" s="24"/>
      <c r="N199" s="24"/>
      <c r="O199" s="24"/>
      <c r="P199" s="24"/>
      <c r="Q199" s="24"/>
      <c r="R199" s="24"/>
      <c r="S199" s="24"/>
      <c r="T199" s="24"/>
      <c r="U199" s="24"/>
      <c r="V199" s="24"/>
    </row>
    <row r="200" spans="1:22">
      <c r="A200" s="24"/>
      <c r="B200" s="24"/>
      <c r="C200" s="346"/>
      <c r="D200" s="24"/>
      <c r="E200" s="24"/>
      <c r="F200" s="24"/>
      <c r="G200" s="24"/>
      <c r="H200" s="24"/>
      <c r="I200" s="24"/>
      <c r="J200" s="24"/>
      <c r="K200" s="24"/>
      <c r="L200" s="24"/>
      <c r="M200" s="24"/>
      <c r="N200" s="24"/>
      <c r="O200" s="24"/>
      <c r="P200" s="24"/>
      <c r="Q200" s="24"/>
      <c r="R200" s="24"/>
      <c r="S200" s="24"/>
      <c r="T200" s="24"/>
      <c r="U200" s="24"/>
      <c r="V200" s="24"/>
    </row>
    <row r="201" spans="1:22">
      <c r="A201" s="24"/>
      <c r="B201" s="24"/>
      <c r="C201" s="346"/>
      <c r="D201" s="24"/>
      <c r="E201" s="24"/>
      <c r="F201" s="24"/>
      <c r="G201" s="24"/>
      <c r="H201" s="24"/>
      <c r="I201" s="24"/>
      <c r="J201" s="24"/>
      <c r="K201" s="24"/>
      <c r="L201" s="24"/>
      <c r="M201" s="24"/>
      <c r="N201" s="24"/>
      <c r="O201" s="24"/>
      <c r="P201" s="24"/>
      <c r="Q201" s="24"/>
      <c r="R201" s="24"/>
      <c r="S201" s="24"/>
      <c r="T201" s="24"/>
      <c r="U201" s="24"/>
      <c r="V201" s="24"/>
    </row>
    <row r="202" spans="1:22">
      <c r="A202" s="24"/>
      <c r="B202" s="24"/>
      <c r="C202" s="346"/>
      <c r="D202" s="24"/>
      <c r="E202" s="24"/>
      <c r="F202" s="24"/>
      <c r="G202" s="24"/>
      <c r="H202" s="24"/>
      <c r="I202" s="24"/>
      <c r="J202" s="24"/>
      <c r="K202" s="24"/>
      <c r="L202" s="24"/>
      <c r="M202" s="24"/>
      <c r="N202" s="24"/>
      <c r="O202" s="24"/>
      <c r="P202" s="24"/>
      <c r="Q202" s="24"/>
      <c r="R202" s="24"/>
      <c r="S202" s="24"/>
      <c r="T202" s="24"/>
      <c r="U202" s="24"/>
      <c r="V202" s="24"/>
    </row>
    <row r="203" spans="1:22">
      <c r="A203" s="24"/>
      <c r="B203" s="24"/>
      <c r="C203" s="346"/>
      <c r="D203" s="24"/>
      <c r="E203" s="24"/>
      <c r="F203" s="24"/>
      <c r="G203" s="24"/>
      <c r="H203" s="24"/>
      <c r="I203" s="24"/>
      <c r="J203" s="24"/>
      <c r="K203" s="24"/>
      <c r="L203" s="24"/>
      <c r="M203" s="24"/>
      <c r="N203" s="24"/>
      <c r="O203" s="24"/>
      <c r="P203" s="24"/>
      <c r="Q203" s="24"/>
      <c r="R203" s="24"/>
      <c r="S203" s="24"/>
      <c r="T203" s="24"/>
      <c r="U203" s="24"/>
      <c r="V203" s="24"/>
    </row>
    <row r="204" spans="1:22">
      <c r="A204" s="24"/>
      <c r="B204" s="24"/>
      <c r="C204" s="346"/>
      <c r="D204" s="24"/>
      <c r="E204" s="24"/>
      <c r="F204" s="24"/>
      <c r="G204" s="24"/>
      <c r="H204" s="24"/>
      <c r="I204" s="24"/>
      <c r="J204" s="24"/>
      <c r="K204" s="24"/>
      <c r="L204" s="24"/>
      <c r="M204" s="24"/>
      <c r="N204" s="24"/>
      <c r="O204" s="24"/>
      <c r="P204" s="24"/>
      <c r="Q204" s="24"/>
      <c r="R204" s="24"/>
      <c r="S204" s="24"/>
      <c r="T204" s="24"/>
      <c r="U204" s="24"/>
      <c r="V204" s="24"/>
    </row>
    <row r="205" spans="1:22">
      <c r="A205" s="24"/>
      <c r="B205" s="24"/>
      <c r="C205" s="346"/>
      <c r="D205" s="24"/>
      <c r="E205" s="24"/>
      <c r="F205" s="24"/>
      <c r="G205" s="24"/>
      <c r="H205" s="24"/>
      <c r="I205" s="24"/>
      <c r="J205" s="24"/>
      <c r="K205" s="24"/>
      <c r="L205" s="24"/>
      <c r="M205" s="24"/>
      <c r="N205" s="24"/>
      <c r="O205" s="24"/>
      <c r="P205" s="24"/>
      <c r="Q205" s="24"/>
      <c r="R205" s="24"/>
      <c r="S205" s="24"/>
      <c r="T205" s="24"/>
      <c r="U205" s="24"/>
      <c r="V205" s="24"/>
    </row>
    <row r="206" spans="1:22">
      <c r="A206" s="24"/>
      <c r="B206" s="24"/>
      <c r="C206" s="346"/>
      <c r="D206" s="24"/>
      <c r="E206" s="24"/>
      <c r="F206" s="24"/>
      <c r="G206" s="24"/>
      <c r="H206" s="24"/>
      <c r="I206" s="24"/>
      <c r="J206" s="24"/>
      <c r="K206" s="24"/>
      <c r="L206" s="24"/>
      <c r="M206" s="24"/>
      <c r="N206" s="24"/>
      <c r="O206" s="24"/>
      <c r="P206" s="24"/>
      <c r="Q206" s="24"/>
      <c r="R206" s="24"/>
      <c r="S206" s="24"/>
      <c r="T206" s="24"/>
      <c r="U206" s="24"/>
      <c r="V206" s="24"/>
    </row>
    <row r="207" spans="1:22">
      <c r="A207" s="24"/>
      <c r="B207" s="24"/>
      <c r="C207" s="346"/>
      <c r="D207" s="24"/>
      <c r="E207" s="24"/>
      <c r="F207" s="24"/>
      <c r="G207" s="24"/>
      <c r="H207" s="24"/>
      <c r="I207" s="24"/>
      <c r="J207" s="24"/>
      <c r="K207" s="24"/>
      <c r="L207" s="24"/>
      <c r="M207" s="24"/>
      <c r="N207" s="24"/>
      <c r="O207" s="24"/>
      <c r="P207" s="24"/>
      <c r="Q207" s="24"/>
      <c r="R207" s="24"/>
      <c r="S207" s="24"/>
      <c r="T207" s="24"/>
      <c r="U207" s="24"/>
      <c r="V207" s="24"/>
    </row>
    <row r="208" spans="1:22">
      <c r="A208" s="24"/>
      <c r="B208" s="24"/>
      <c r="C208" s="346"/>
      <c r="D208" s="24"/>
      <c r="E208" s="24"/>
      <c r="F208" s="24"/>
      <c r="G208" s="24"/>
      <c r="H208" s="24"/>
      <c r="I208" s="24"/>
      <c r="J208" s="24"/>
      <c r="K208" s="24"/>
      <c r="L208" s="24"/>
      <c r="M208" s="24"/>
      <c r="N208" s="24"/>
      <c r="O208" s="24"/>
      <c r="P208" s="24"/>
      <c r="Q208" s="24"/>
      <c r="R208" s="24"/>
      <c r="S208" s="24"/>
      <c r="T208" s="24"/>
      <c r="U208" s="24"/>
      <c r="V208" s="24"/>
    </row>
    <row r="209" spans="1:22">
      <c r="A209" s="24"/>
      <c r="B209" s="24"/>
      <c r="C209" s="346"/>
      <c r="D209" s="24"/>
      <c r="E209" s="24"/>
      <c r="F209" s="24"/>
      <c r="G209" s="24"/>
      <c r="H209" s="24"/>
      <c r="I209" s="24"/>
      <c r="J209" s="24"/>
      <c r="K209" s="24"/>
      <c r="L209" s="24"/>
      <c r="M209" s="24"/>
      <c r="N209" s="24"/>
      <c r="O209" s="24"/>
      <c r="P209" s="24"/>
      <c r="Q209" s="24"/>
      <c r="R209" s="24"/>
      <c r="S209" s="24"/>
      <c r="T209" s="24"/>
      <c r="U209" s="24"/>
      <c r="V209" s="24"/>
    </row>
    <row r="210" spans="1:22">
      <c r="A210" s="24"/>
      <c r="B210" s="24"/>
      <c r="C210" s="346"/>
      <c r="D210" s="24"/>
      <c r="E210" s="24"/>
      <c r="F210" s="24"/>
      <c r="G210" s="24"/>
      <c r="H210" s="24"/>
      <c r="I210" s="24"/>
      <c r="J210" s="24"/>
      <c r="K210" s="24"/>
      <c r="L210" s="24"/>
      <c r="M210" s="24"/>
      <c r="N210" s="24"/>
      <c r="O210" s="24"/>
      <c r="P210" s="24"/>
      <c r="Q210" s="24"/>
      <c r="R210" s="24"/>
      <c r="S210" s="24"/>
      <c r="T210" s="24"/>
      <c r="U210" s="24"/>
      <c r="V210" s="24"/>
    </row>
    <row r="211" spans="1:22">
      <c r="A211" s="24"/>
      <c r="B211" s="24"/>
      <c r="C211" s="346"/>
      <c r="D211" s="24"/>
      <c r="E211" s="24"/>
      <c r="F211" s="24"/>
      <c r="G211" s="24"/>
      <c r="H211" s="24"/>
      <c r="I211" s="24"/>
      <c r="J211" s="24"/>
      <c r="K211" s="24"/>
      <c r="L211" s="24"/>
      <c r="M211" s="24"/>
      <c r="N211" s="24"/>
      <c r="O211" s="24"/>
      <c r="P211" s="24"/>
      <c r="Q211" s="24"/>
      <c r="R211" s="24"/>
      <c r="S211" s="24"/>
      <c r="T211" s="24"/>
      <c r="U211" s="24"/>
      <c r="V211" s="24"/>
    </row>
  </sheetData>
  <conditionalFormatting sqref="H11:N11">
    <cfRule type="cellIs" dxfId="34" priority="13" stopIfTrue="1" operator="greaterThan">
      <formula>#REF!</formula>
    </cfRule>
  </conditionalFormatting>
  <conditionalFormatting sqref="I137">
    <cfRule type="cellIs" dxfId="33" priority="29" stopIfTrue="1" operator="lessThan">
      <formula>$M$11</formula>
    </cfRule>
  </conditionalFormatting>
  <conditionalFormatting sqref="J137">
    <cfRule type="cellIs" dxfId="32" priority="30" stopIfTrue="1" operator="lessThan">
      <formula>$N$11</formula>
    </cfRule>
  </conditionalFormatting>
  <conditionalFormatting sqref="H137">
    <cfRule type="cellIs" dxfId="31" priority="31" stopIfTrue="1" operator="lessThan">
      <formula>$L$11</formula>
    </cfRule>
  </conditionalFormatting>
  <conditionalFormatting sqref="G137">
    <cfRule type="cellIs" dxfId="30" priority="32" stopIfTrue="1" operator="lessThan">
      <formula>$K$11</formula>
    </cfRule>
  </conditionalFormatting>
  <conditionalFormatting sqref="F137">
    <cfRule type="cellIs" dxfId="29" priority="33" stopIfTrue="1" operator="lessThan">
      <formula>$J$11</formula>
    </cfRule>
  </conditionalFormatting>
  <conditionalFormatting sqref="E137">
    <cfRule type="cellIs" dxfId="28" priority="34" stopIfTrue="1" operator="lessThan">
      <formula>$I$11</formula>
    </cfRule>
  </conditionalFormatting>
  <conditionalFormatting sqref="D137">
    <cfRule type="cellIs" dxfId="27" priority="35" stopIfTrue="1" operator="lessThan">
      <formula>$H$11</formula>
    </cfRule>
  </conditionalFormatting>
  <conditionalFormatting sqref="C137:J137">
    <cfRule type="cellIs" dxfId="26" priority="2" operator="lessThan">
      <formula>$C$130</formula>
    </cfRule>
  </conditionalFormatting>
  <conditionalFormatting sqref="C143:J143">
    <cfRule type="cellIs" dxfId="25" priority="1" operator="lessThan">
      <formula>0</formula>
    </cfRule>
  </conditionalFormatting>
  <dataValidations count="1">
    <dataValidation type="list" allowBlank="1" showInputMessage="1" showErrorMessage="1" sqref="C128">
      <formula1>$N$80:$N$84</formula1>
    </dataValidation>
  </dataValidations>
  <pageMargins left="0.78740157499999996" right="0.78740157499999996" top="0.984251969" bottom="0.984251969" header="0.4921259845" footer="0.4921259845"/>
  <pageSetup paperSize="9" orientation="portrait" horizontalDpi="4294967293" r:id="rId1"/>
  <headerFooter alignWithMargins="0"/>
  <drawing r:id="rId2"/>
  <legacy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10"/>
  <sheetViews>
    <sheetView showGridLines="0" tabSelected="1" zoomScale="90" zoomScaleNormal="90" workbookViewId="0"/>
  </sheetViews>
  <sheetFormatPr baseColWidth="10" defaultRowHeight="15.75"/>
  <cols>
    <col min="1" max="1" width="36.140625" style="359" customWidth="1"/>
    <col min="2" max="9" width="7.7109375" style="359" customWidth="1"/>
    <col min="10" max="10" width="13.42578125" style="359" customWidth="1"/>
    <col min="11" max="11" width="5.7109375" style="359" customWidth="1"/>
    <col min="12" max="12" width="11.42578125" style="1195"/>
    <col min="13" max="13" width="11.42578125" style="359"/>
    <col min="14" max="14" width="29.85546875" style="359" customWidth="1"/>
    <col min="15" max="15" width="7.7109375" style="359" customWidth="1"/>
    <col min="16" max="16" width="11.140625" style="359" customWidth="1"/>
    <col min="17" max="17" width="12" style="359" customWidth="1"/>
    <col min="18" max="18" width="12.140625" style="359" customWidth="1"/>
    <col min="19" max="19" width="13.85546875" style="359" customWidth="1"/>
    <col min="20" max="21" width="7.7109375" style="359" customWidth="1"/>
    <col min="22" max="22" width="9" style="359" customWidth="1"/>
    <col min="23" max="23" width="9.7109375" style="359" customWidth="1"/>
    <col min="24" max="27" width="11.42578125" style="359"/>
    <col min="28" max="28" width="12.28515625" style="359" customWidth="1"/>
    <col min="29" max="256" width="11.42578125" style="359"/>
    <col min="257" max="257" width="19.28515625" style="359" customWidth="1"/>
    <col min="258" max="267" width="5.7109375" style="359" customWidth="1"/>
    <col min="268" max="269" width="11.42578125" style="359"/>
    <col min="270" max="270" width="29.85546875" style="359" customWidth="1"/>
    <col min="271" max="277" width="7.7109375" style="359" customWidth="1"/>
    <col min="278" max="278" width="9" style="359" customWidth="1"/>
    <col min="279" max="279" width="9.7109375" style="359" customWidth="1"/>
    <col min="280" max="283" width="11.42578125" style="359"/>
    <col min="284" max="284" width="12.28515625" style="359" customWidth="1"/>
    <col min="285" max="512" width="11.42578125" style="359"/>
    <col min="513" max="513" width="19.28515625" style="359" customWidth="1"/>
    <col min="514" max="523" width="5.7109375" style="359" customWidth="1"/>
    <col min="524" max="525" width="11.42578125" style="359"/>
    <col min="526" max="526" width="29.85546875" style="359" customWidth="1"/>
    <col min="527" max="533" width="7.7109375" style="359" customWidth="1"/>
    <col min="534" max="534" width="9" style="359" customWidth="1"/>
    <col min="535" max="535" width="9.7109375" style="359" customWidth="1"/>
    <col min="536" max="539" width="11.42578125" style="359"/>
    <col min="540" max="540" width="12.28515625" style="359" customWidth="1"/>
    <col min="541" max="768" width="11.42578125" style="359"/>
    <col min="769" max="769" width="19.28515625" style="359" customWidth="1"/>
    <col min="770" max="779" width="5.7109375" style="359" customWidth="1"/>
    <col min="780" max="781" width="11.42578125" style="359"/>
    <col min="782" max="782" width="29.85546875" style="359" customWidth="1"/>
    <col min="783" max="789" width="7.7109375" style="359" customWidth="1"/>
    <col min="790" max="790" width="9" style="359" customWidth="1"/>
    <col min="791" max="791" width="9.7109375" style="359" customWidth="1"/>
    <col min="792" max="795" width="11.42578125" style="359"/>
    <col min="796" max="796" width="12.28515625" style="359" customWidth="1"/>
    <col min="797" max="1024" width="11.42578125" style="359"/>
    <col min="1025" max="1025" width="19.28515625" style="359" customWidth="1"/>
    <col min="1026" max="1035" width="5.7109375" style="359" customWidth="1"/>
    <col min="1036" max="1037" width="11.42578125" style="359"/>
    <col min="1038" max="1038" width="29.85546875" style="359" customWidth="1"/>
    <col min="1039" max="1045" width="7.7109375" style="359" customWidth="1"/>
    <col min="1046" max="1046" width="9" style="359" customWidth="1"/>
    <col min="1047" max="1047" width="9.7109375" style="359" customWidth="1"/>
    <col min="1048" max="1051" width="11.42578125" style="359"/>
    <col min="1052" max="1052" width="12.28515625" style="359" customWidth="1"/>
    <col min="1053" max="1280" width="11.42578125" style="359"/>
    <col min="1281" max="1281" width="19.28515625" style="359" customWidth="1"/>
    <col min="1282" max="1291" width="5.7109375" style="359" customWidth="1"/>
    <col min="1292" max="1293" width="11.42578125" style="359"/>
    <col min="1294" max="1294" width="29.85546875" style="359" customWidth="1"/>
    <col min="1295" max="1301" width="7.7109375" style="359" customWidth="1"/>
    <col min="1302" max="1302" width="9" style="359" customWidth="1"/>
    <col min="1303" max="1303" width="9.7109375" style="359" customWidth="1"/>
    <col min="1304" max="1307" width="11.42578125" style="359"/>
    <col min="1308" max="1308" width="12.28515625" style="359" customWidth="1"/>
    <col min="1309" max="1536" width="11.42578125" style="359"/>
    <col min="1537" max="1537" width="19.28515625" style="359" customWidth="1"/>
    <col min="1538" max="1547" width="5.7109375" style="359" customWidth="1"/>
    <col min="1548" max="1549" width="11.42578125" style="359"/>
    <col min="1550" max="1550" width="29.85546875" style="359" customWidth="1"/>
    <col min="1551" max="1557" width="7.7109375" style="359" customWidth="1"/>
    <col min="1558" max="1558" width="9" style="359" customWidth="1"/>
    <col min="1559" max="1559" width="9.7109375" style="359" customWidth="1"/>
    <col min="1560" max="1563" width="11.42578125" style="359"/>
    <col min="1564" max="1564" width="12.28515625" style="359" customWidth="1"/>
    <col min="1565" max="1792" width="11.42578125" style="359"/>
    <col min="1793" max="1793" width="19.28515625" style="359" customWidth="1"/>
    <col min="1794" max="1803" width="5.7109375" style="359" customWidth="1"/>
    <col min="1804" max="1805" width="11.42578125" style="359"/>
    <col min="1806" max="1806" width="29.85546875" style="359" customWidth="1"/>
    <col min="1807" max="1813" width="7.7109375" style="359" customWidth="1"/>
    <col min="1814" max="1814" width="9" style="359" customWidth="1"/>
    <col min="1815" max="1815" width="9.7109375" style="359" customWidth="1"/>
    <col min="1816" max="1819" width="11.42578125" style="359"/>
    <col min="1820" max="1820" width="12.28515625" style="359" customWidth="1"/>
    <col min="1821" max="2048" width="11.42578125" style="359"/>
    <col min="2049" max="2049" width="19.28515625" style="359" customWidth="1"/>
    <col min="2050" max="2059" width="5.7109375" style="359" customWidth="1"/>
    <col min="2060" max="2061" width="11.42578125" style="359"/>
    <col min="2062" max="2062" width="29.85546875" style="359" customWidth="1"/>
    <col min="2063" max="2069" width="7.7109375" style="359" customWidth="1"/>
    <col min="2070" max="2070" width="9" style="359" customWidth="1"/>
    <col min="2071" max="2071" width="9.7109375" style="359" customWidth="1"/>
    <col min="2072" max="2075" width="11.42578125" style="359"/>
    <col min="2076" max="2076" width="12.28515625" style="359" customWidth="1"/>
    <col min="2077" max="2304" width="11.42578125" style="359"/>
    <col min="2305" max="2305" width="19.28515625" style="359" customWidth="1"/>
    <col min="2306" max="2315" width="5.7109375" style="359" customWidth="1"/>
    <col min="2316" max="2317" width="11.42578125" style="359"/>
    <col min="2318" max="2318" width="29.85546875" style="359" customWidth="1"/>
    <col min="2319" max="2325" width="7.7109375" style="359" customWidth="1"/>
    <col min="2326" max="2326" width="9" style="359" customWidth="1"/>
    <col min="2327" max="2327" width="9.7109375" style="359" customWidth="1"/>
    <col min="2328" max="2331" width="11.42578125" style="359"/>
    <col min="2332" max="2332" width="12.28515625" style="359" customWidth="1"/>
    <col min="2333" max="2560" width="11.42578125" style="359"/>
    <col min="2561" max="2561" width="19.28515625" style="359" customWidth="1"/>
    <col min="2562" max="2571" width="5.7109375" style="359" customWidth="1"/>
    <col min="2572" max="2573" width="11.42578125" style="359"/>
    <col min="2574" max="2574" width="29.85546875" style="359" customWidth="1"/>
    <col min="2575" max="2581" width="7.7109375" style="359" customWidth="1"/>
    <col min="2582" max="2582" width="9" style="359" customWidth="1"/>
    <col min="2583" max="2583" width="9.7109375" style="359" customWidth="1"/>
    <col min="2584" max="2587" width="11.42578125" style="359"/>
    <col min="2588" max="2588" width="12.28515625" style="359" customWidth="1"/>
    <col min="2589" max="2816" width="11.42578125" style="359"/>
    <col min="2817" max="2817" width="19.28515625" style="359" customWidth="1"/>
    <col min="2818" max="2827" width="5.7109375" style="359" customWidth="1"/>
    <col min="2828" max="2829" width="11.42578125" style="359"/>
    <col min="2830" max="2830" width="29.85546875" style="359" customWidth="1"/>
    <col min="2831" max="2837" width="7.7109375" style="359" customWidth="1"/>
    <col min="2838" max="2838" width="9" style="359" customWidth="1"/>
    <col min="2839" max="2839" width="9.7109375" style="359" customWidth="1"/>
    <col min="2840" max="2843" width="11.42578125" style="359"/>
    <col min="2844" max="2844" width="12.28515625" style="359" customWidth="1"/>
    <col min="2845" max="3072" width="11.42578125" style="359"/>
    <col min="3073" max="3073" width="19.28515625" style="359" customWidth="1"/>
    <col min="3074" max="3083" width="5.7109375" style="359" customWidth="1"/>
    <col min="3084" max="3085" width="11.42578125" style="359"/>
    <col min="3086" max="3086" width="29.85546875" style="359" customWidth="1"/>
    <col min="3087" max="3093" width="7.7109375" style="359" customWidth="1"/>
    <col min="3094" max="3094" width="9" style="359" customWidth="1"/>
    <col min="3095" max="3095" width="9.7109375" style="359" customWidth="1"/>
    <col min="3096" max="3099" width="11.42578125" style="359"/>
    <col min="3100" max="3100" width="12.28515625" style="359" customWidth="1"/>
    <col min="3101" max="3328" width="11.42578125" style="359"/>
    <col min="3329" max="3329" width="19.28515625" style="359" customWidth="1"/>
    <col min="3330" max="3339" width="5.7109375" style="359" customWidth="1"/>
    <col min="3340" max="3341" width="11.42578125" style="359"/>
    <col min="3342" max="3342" width="29.85546875" style="359" customWidth="1"/>
    <col min="3343" max="3349" width="7.7109375" style="359" customWidth="1"/>
    <col min="3350" max="3350" width="9" style="359" customWidth="1"/>
    <col min="3351" max="3351" width="9.7109375" style="359" customWidth="1"/>
    <col min="3352" max="3355" width="11.42578125" style="359"/>
    <col min="3356" max="3356" width="12.28515625" style="359" customWidth="1"/>
    <col min="3357" max="3584" width="11.42578125" style="359"/>
    <col min="3585" max="3585" width="19.28515625" style="359" customWidth="1"/>
    <col min="3586" max="3595" width="5.7109375" style="359" customWidth="1"/>
    <col min="3596" max="3597" width="11.42578125" style="359"/>
    <col min="3598" max="3598" width="29.85546875" style="359" customWidth="1"/>
    <col min="3599" max="3605" width="7.7109375" style="359" customWidth="1"/>
    <col min="3606" max="3606" width="9" style="359" customWidth="1"/>
    <col min="3607" max="3607" width="9.7109375" style="359" customWidth="1"/>
    <col min="3608" max="3611" width="11.42578125" style="359"/>
    <col min="3612" max="3612" width="12.28515625" style="359" customWidth="1"/>
    <col min="3613" max="3840" width="11.42578125" style="359"/>
    <col min="3841" max="3841" width="19.28515625" style="359" customWidth="1"/>
    <col min="3842" max="3851" width="5.7109375" style="359" customWidth="1"/>
    <col min="3852" max="3853" width="11.42578125" style="359"/>
    <col min="3854" max="3854" width="29.85546875" style="359" customWidth="1"/>
    <col min="3855" max="3861" width="7.7109375" style="359" customWidth="1"/>
    <col min="3862" max="3862" width="9" style="359" customWidth="1"/>
    <col min="3863" max="3863" width="9.7109375" style="359" customWidth="1"/>
    <col min="3864" max="3867" width="11.42578125" style="359"/>
    <col min="3868" max="3868" width="12.28515625" style="359" customWidth="1"/>
    <col min="3869" max="4096" width="11.42578125" style="359"/>
    <col min="4097" max="4097" width="19.28515625" style="359" customWidth="1"/>
    <col min="4098" max="4107" width="5.7109375" style="359" customWidth="1"/>
    <col min="4108" max="4109" width="11.42578125" style="359"/>
    <col min="4110" max="4110" width="29.85546875" style="359" customWidth="1"/>
    <col min="4111" max="4117" width="7.7109375" style="359" customWidth="1"/>
    <col min="4118" max="4118" width="9" style="359" customWidth="1"/>
    <col min="4119" max="4119" width="9.7109375" style="359" customWidth="1"/>
    <col min="4120" max="4123" width="11.42578125" style="359"/>
    <col min="4124" max="4124" width="12.28515625" style="359" customWidth="1"/>
    <col min="4125" max="4352" width="11.42578125" style="359"/>
    <col min="4353" max="4353" width="19.28515625" style="359" customWidth="1"/>
    <col min="4354" max="4363" width="5.7109375" style="359" customWidth="1"/>
    <col min="4364" max="4365" width="11.42578125" style="359"/>
    <col min="4366" max="4366" width="29.85546875" style="359" customWidth="1"/>
    <col min="4367" max="4373" width="7.7109375" style="359" customWidth="1"/>
    <col min="4374" max="4374" width="9" style="359" customWidth="1"/>
    <col min="4375" max="4375" width="9.7109375" style="359" customWidth="1"/>
    <col min="4376" max="4379" width="11.42578125" style="359"/>
    <col min="4380" max="4380" width="12.28515625" style="359" customWidth="1"/>
    <col min="4381" max="4608" width="11.42578125" style="359"/>
    <col min="4609" max="4609" width="19.28515625" style="359" customWidth="1"/>
    <col min="4610" max="4619" width="5.7109375" style="359" customWidth="1"/>
    <col min="4620" max="4621" width="11.42578125" style="359"/>
    <col min="4622" max="4622" width="29.85546875" style="359" customWidth="1"/>
    <col min="4623" max="4629" width="7.7109375" style="359" customWidth="1"/>
    <col min="4630" max="4630" width="9" style="359" customWidth="1"/>
    <col min="4631" max="4631" width="9.7109375" style="359" customWidth="1"/>
    <col min="4632" max="4635" width="11.42578125" style="359"/>
    <col min="4636" max="4636" width="12.28515625" style="359" customWidth="1"/>
    <col min="4637" max="4864" width="11.42578125" style="359"/>
    <col min="4865" max="4865" width="19.28515625" style="359" customWidth="1"/>
    <col min="4866" max="4875" width="5.7109375" style="359" customWidth="1"/>
    <col min="4876" max="4877" width="11.42578125" style="359"/>
    <col min="4878" max="4878" width="29.85546875" style="359" customWidth="1"/>
    <col min="4879" max="4885" width="7.7109375" style="359" customWidth="1"/>
    <col min="4886" max="4886" width="9" style="359" customWidth="1"/>
    <col min="4887" max="4887" width="9.7109375" style="359" customWidth="1"/>
    <col min="4888" max="4891" width="11.42578125" style="359"/>
    <col min="4892" max="4892" width="12.28515625" style="359" customWidth="1"/>
    <col min="4893" max="5120" width="11.42578125" style="359"/>
    <col min="5121" max="5121" width="19.28515625" style="359" customWidth="1"/>
    <col min="5122" max="5131" width="5.7109375" style="359" customWidth="1"/>
    <col min="5132" max="5133" width="11.42578125" style="359"/>
    <col min="5134" max="5134" width="29.85546875" style="359" customWidth="1"/>
    <col min="5135" max="5141" width="7.7109375" style="359" customWidth="1"/>
    <col min="5142" max="5142" width="9" style="359" customWidth="1"/>
    <col min="5143" max="5143" width="9.7109375" style="359" customWidth="1"/>
    <col min="5144" max="5147" width="11.42578125" style="359"/>
    <col min="5148" max="5148" width="12.28515625" style="359" customWidth="1"/>
    <col min="5149" max="5376" width="11.42578125" style="359"/>
    <col min="5377" max="5377" width="19.28515625" style="359" customWidth="1"/>
    <col min="5378" max="5387" width="5.7109375" style="359" customWidth="1"/>
    <col min="5388" max="5389" width="11.42578125" style="359"/>
    <col min="5390" max="5390" width="29.85546875" style="359" customWidth="1"/>
    <col min="5391" max="5397" width="7.7109375" style="359" customWidth="1"/>
    <col min="5398" max="5398" width="9" style="359" customWidth="1"/>
    <col min="5399" max="5399" width="9.7109375" style="359" customWidth="1"/>
    <col min="5400" max="5403" width="11.42578125" style="359"/>
    <col min="5404" max="5404" width="12.28515625" style="359" customWidth="1"/>
    <col min="5405" max="5632" width="11.42578125" style="359"/>
    <col min="5633" max="5633" width="19.28515625" style="359" customWidth="1"/>
    <col min="5634" max="5643" width="5.7109375" style="359" customWidth="1"/>
    <col min="5644" max="5645" width="11.42578125" style="359"/>
    <col min="5646" max="5646" width="29.85546875" style="359" customWidth="1"/>
    <col min="5647" max="5653" width="7.7109375" style="359" customWidth="1"/>
    <col min="5654" max="5654" width="9" style="359" customWidth="1"/>
    <col min="5655" max="5655" width="9.7109375" style="359" customWidth="1"/>
    <col min="5656" max="5659" width="11.42578125" style="359"/>
    <col min="5660" max="5660" width="12.28515625" style="359" customWidth="1"/>
    <col min="5661" max="5888" width="11.42578125" style="359"/>
    <col min="5889" max="5889" width="19.28515625" style="359" customWidth="1"/>
    <col min="5890" max="5899" width="5.7109375" style="359" customWidth="1"/>
    <col min="5900" max="5901" width="11.42578125" style="359"/>
    <col min="5902" max="5902" width="29.85546875" style="359" customWidth="1"/>
    <col min="5903" max="5909" width="7.7109375" style="359" customWidth="1"/>
    <col min="5910" max="5910" width="9" style="359" customWidth="1"/>
    <col min="5911" max="5911" width="9.7109375" style="359" customWidth="1"/>
    <col min="5912" max="5915" width="11.42578125" style="359"/>
    <col min="5916" max="5916" width="12.28515625" style="359" customWidth="1"/>
    <col min="5917" max="6144" width="11.42578125" style="359"/>
    <col min="6145" max="6145" width="19.28515625" style="359" customWidth="1"/>
    <col min="6146" max="6155" width="5.7109375" style="359" customWidth="1"/>
    <col min="6156" max="6157" width="11.42578125" style="359"/>
    <col min="6158" max="6158" width="29.85546875" style="359" customWidth="1"/>
    <col min="6159" max="6165" width="7.7109375" style="359" customWidth="1"/>
    <col min="6166" max="6166" width="9" style="359" customWidth="1"/>
    <col min="6167" max="6167" width="9.7109375" style="359" customWidth="1"/>
    <col min="6168" max="6171" width="11.42578125" style="359"/>
    <col min="6172" max="6172" width="12.28515625" style="359" customWidth="1"/>
    <col min="6173" max="6400" width="11.42578125" style="359"/>
    <col min="6401" max="6401" width="19.28515625" style="359" customWidth="1"/>
    <col min="6402" max="6411" width="5.7109375" style="359" customWidth="1"/>
    <col min="6412" max="6413" width="11.42578125" style="359"/>
    <col min="6414" max="6414" width="29.85546875" style="359" customWidth="1"/>
    <col min="6415" max="6421" width="7.7109375" style="359" customWidth="1"/>
    <col min="6422" max="6422" width="9" style="359" customWidth="1"/>
    <col min="6423" max="6423" width="9.7109375" style="359" customWidth="1"/>
    <col min="6424" max="6427" width="11.42578125" style="359"/>
    <col min="6428" max="6428" width="12.28515625" style="359" customWidth="1"/>
    <col min="6429" max="6656" width="11.42578125" style="359"/>
    <col min="6657" max="6657" width="19.28515625" style="359" customWidth="1"/>
    <col min="6658" max="6667" width="5.7109375" style="359" customWidth="1"/>
    <col min="6668" max="6669" width="11.42578125" style="359"/>
    <col min="6670" max="6670" width="29.85546875" style="359" customWidth="1"/>
    <col min="6671" max="6677" width="7.7109375" style="359" customWidth="1"/>
    <col min="6678" max="6678" width="9" style="359" customWidth="1"/>
    <col min="6679" max="6679" width="9.7109375" style="359" customWidth="1"/>
    <col min="6680" max="6683" width="11.42578125" style="359"/>
    <col min="6684" max="6684" width="12.28515625" style="359" customWidth="1"/>
    <col min="6685" max="6912" width="11.42578125" style="359"/>
    <col min="6913" max="6913" width="19.28515625" style="359" customWidth="1"/>
    <col min="6914" max="6923" width="5.7109375" style="359" customWidth="1"/>
    <col min="6924" max="6925" width="11.42578125" style="359"/>
    <col min="6926" max="6926" width="29.85546875" style="359" customWidth="1"/>
    <col min="6927" max="6933" width="7.7109375" style="359" customWidth="1"/>
    <col min="6934" max="6934" width="9" style="359" customWidth="1"/>
    <col min="6935" max="6935" width="9.7109375" style="359" customWidth="1"/>
    <col min="6936" max="6939" width="11.42578125" style="359"/>
    <col min="6940" max="6940" width="12.28515625" style="359" customWidth="1"/>
    <col min="6941" max="7168" width="11.42578125" style="359"/>
    <col min="7169" max="7169" width="19.28515625" style="359" customWidth="1"/>
    <col min="7170" max="7179" width="5.7109375" style="359" customWidth="1"/>
    <col min="7180" max="7181" width="11.42578125" style="359"/>
    <col min="7182" max="7182" width="29.85546875" style="359" customWidth="1"/>
    <col min="7183" max="7189" width="7.7109375" style="359" customWidth="1"/>
    <col min="7190" max="7190" width="9" style="359" customWidth="1"/>
    <col min="7191" max="7191" width="9.7109375" style="359" customWidth="1"/>
    <col min="7192" max="7195" width="11.42578125" style="359"/>
    <col min="7196" max="7196" width="12.28515625" style="359" customWidth="1"/>
    <col min="7197" max="7424" width="11.42578125" style="359"/>
    <col min="7425" max="7425" width="19.28515625" style="359" customWidth="1"/>
    <col min="7426" max="7435" width="5.7109375" style="359" customWidth="1"/>
    <col min="7436" max="7437" width="11.42578125" style="359"/>
    <col min="7438" max="7438" width="29.85546875" style="359" customWidth="1"/>
    <col min="7439" max="7445" width="7.7109375" style="359" customWidth="1"/>
    <col min="7446" max="7446" width="9" style="359" customWidth="1"/>
    <col min="7447" max="7447" width="9.7109375" style="359" customWidth="1"/>
    <col min="7448" max="7451" width="11.42578125" style="359"/>
    <col min="7452" max="7452" width="12.28515625" style="359" customWidth="1"/>
    <col min="7453" max="7680" width="11.42578125" style="359"/>
    <col min="7681" max="7681" width="19.28515625" style="359" customWidth="1"/>
    <col min="7682" max="7691" width="5.7109375" style="359" customWidth="1"/>
    <col min="7692" max="7693" width="11.42578125" style="359"/>
    <col min="7694" max="7694" width="29.85546875" style="359" customWidth="1"/>
    <col min="7695" max="7701" width="7.7109375" style="359" customWidth="1"/>
    <col min="7702" max="7702" width="9" style="359" customWidth="1"/>
    <col min="7703" max="7703" width="9.7109375" style="359" customWidth="1"/>
    <col min="7704" max="7707" width="11.42578125" style="359"/>
    <col min="7708" max="7708" width="12.28515625" style="359" customWidth="1"/>
    <col min="7709" max="7936" width="11.42578125" style="359"/>
    <col min="7937" max="7937" width="19.28515625" style="359" customWidth="1"/>
    <col min="7938" max="7947" width="5.7109375" style="359" customWidth="1"/>
    <col min="7948" max="7949" width="11.42578125" style="359"/>
    <col min="7950" max="7950" width="29.85546875" style="359" customWidth="1"/>
    <col min="7951" max="7957" width="7.7109375" style="359" customWidth="1"/>
    <col min="7958" max="7958" width="9" style="359" customWidth="1"/>
    <col min="7959" max="7959" width="9.7109375" style="359" customWidth="1"/>
    <col min="7960" max="7963" width="11.42578125" style="359"/>
    <col min="7964" max="7964" width="12.28515625" style="359" customWidth="1"/>
    <col min="7965" max="8192" width="11.42578125" style="359"/>
    <col min="8193" max="8193" width="19.28515625" style="359" customWidth="1"/>
    <col min="8194" max="8203" width="5.7109375" style="359" customWidth="1"/>
    <col min="8204" max="8205" width="11.42578125" style="359"/>
    <col min="8206" max="8206" width="29.85546875" style="359" customWidth="1"/>
    <col min="8207" max="8213" width="7.7109375" style="359" customWidth="1"/>
    <col min="8214" max="8214" width="9" style="359" customWidth="1"/>
    <col min="8215" max="8215" width="9.7109375" style="359" customWidth="1"/>
    <col min="8216" max="8219" width="11.42578125" style="359"/>
    <col min="8220" max="8220" width="12.28515625" style="359" customWidth="1"/>
    <col min="8221" max="8448" width="11.42578125" style="359"/>
    <col min="8449" max="8449" width="19.28515625" style="359" customWidth="1"/>
    <col min="8450" max="8459" width="5.7109375" style="359" customWidth="1"/>
    <col min="8460" max="8461" width="11.42578125" style="359"/>
    <col min="8462" max="8462" width="29.85546875" style="359" customWidth="1"/>
    <col min="8463" max="8469" width="7.7109375" style="359" customWidth="1"/>
    <col min="8470" max="8470" width="9" style="359" customWidth="1"/>
    <col min="8471" max="8471" width="9.7109375" style="359" customWidth="1"/>
    <col min="8472" max="8475" width="11.42578125" style="359"/>
    <col min="8476" max="8476" width="12.28515625" style="359" customWidth="1"/>
    <col min="8477" max="8704" width="11.42578125" style="359"/>
    <col min="8705" max="8705" width="19.28515625" style="359" customWidth="1"/>
    <col min="8706" max="8715" width="5.7109375" style="359" customWidth="1"/>
    <col min="8716" max="8717" width="11.42578125" style="359"/>
    <col min="8718" max="8718" width="29.85546875" style="359" customWidth="1"/>
    <col min="8719" max="8725" width="7.7109375" style="359" customWidth="1"/>
    <col min="8726" max="8726" width="9" style="359" customWidth="1"/>
    <col min="8727" max="8727" width="9.7109375" style="359" customWidth="1"/>
    <col min="8728" max="8731" width="11.42578125" style="359"/>
    <col min="8732" max="8732" width="12.28515625" style="359" customWidth="1"/>
    <col min="8733" max="8960" width="11.42578125" style="359"/>
    <col min="8961" max="8961" width="19.28515625" style="359" customWidth="1"/>
    <col min="8962" max="8971" width="5.7109375" style="359" customWidth="1"/>
    <col min="8972" max="8973" width="11.42578125" style="359"/>
    <col min="8974" max="8974" width="29.85546875" style="359" customWidth="1"/>
    <col min="8975" max="8981" width="7.7109375" style="359" customWidth="1"/>
    <col min="8982" max="8982" width="9" style="359" customWidth="1"/>
    <col min="8983" max="8983" width="9.7109375" style="359" customWidth="1"/>
    <col min="8984" max="8987" width="11.42578125" style="359"/>
    <col min="8988" max="8988" width="12.28515625" style="359" customWidth="1"/>
    <col min="8989" max="9216" width="11.42578125" style="359"/>
    <col min="9217" max="9217" width="19.28515625" style="359" customWidth="1"/>
    <col min="9218" max="9227" width="5.7109375" style="359" customWidth="1"/>
    <col min="9228" max="9229" width="11.42578125" style="359"/>
    <col min="9230" max="9230" width="29.85546875" style="359" customWidth="1"/>
    <col min="9231" max="9237" width="7.7109375" style="359" customWidth="1"/>
    <col min="9238" max="9238" width="9" style="359" customWidth="1"/>
    <col min="9239" max="9239" width="9.7109375" style="359" customWidth="1"/>
    <col min="9240" max="9243" width="11.42578125" style="359"/>
    <col min="9244" max="9244" width="12.28515625" style="359" customWidth="1"/>
    <col min="9245" max="9472" width="11.42578125" style="359"/>
    <col min="9473" max="9473" width="19.28515625" style="359" customWidth="1"/>
    <col min="9474" max="9483" width="5.7109375" style="359" customWidth="1"/>
    <col min="9484" max="9485" width="11.42578125" style="359"/>
    <col min="9486" max="9486" width="29.85546875" style="359" customWidth="1"/>
    <col min="9487" max="9493" width="7.7109375" style="359" customWidth="1"/>
    <col min="9494" max="9494" width="9" style="359" customWidth="1"/>
    <col min="9495" max="9495" width="9.7109375" style="359" customWidth="1"/>
    <col min="9496" max="9499" width="11.42578125" style="359"/>
    <col min="9500" max="9500" width="12.28515625" style="359" customWidth="1"/>
    <col min="9501" max="9728" width="11.42578125" style="359"/>
    <col min="9729" max="9729" width="19.28515625" style="359" customWidth="1"/>
    <col min="9730" max="9739" width="5.7109375" style="359" customWidth="1"/>
    <col min="9740" max="9741" width="11.42578125" style="359"/>
    <col min="9742" max="9742" width="29.85546875" style="359" customWidth="1"/>
    <col min="9743" max="9749" width="7.7109375" style="359" customWidth="1"/>
    <col min="9750" max="9750" width="9" style="359" customWidth="1"/>
    <col min="9751" max="9751" width="9.7109375" style="359" customWidth="1"/>
    <col min="9752" max="9755" width="11.42578125" style="359"/>
    <col min="9756" max="9756" width="12.28515625" style="359" customWidth="1"/>
    <col min="9757" max="9984" width="11.42578125" style="359"/>
    <col min="9985" max="9985" width="19.28515625" style="359" customWidth="1"/>
    <col min="9986" max="9995" width="5.7109375" style="359" customWidth="1"/>
    <col min="9996" max="9997" width="11.42578125" style="359"/>
    <col min="9998" max="9998" width="29.85546875" style="359" customWidth="1"/>
    <col min="9999" max="10005" width="7.7109375" style="359" customWidth="1"/>
    <col min="10006" max="10006" width="9" style="359" customWidth="1"/>
    <col min="10007" max="10007" width="9.7109375" style="359" customWidth="1"/>
    <col min="10008" max="10011" width="11.42578125" style="359"/>
    <col min="10012" max="10012" width="12.28515625" style="359" customWidth="1"/>
    <col min="10013" max="10240" width="11.42578125" style="359"/>
    <col min="10241" max="10241" width="19.28515625" style="359" customWidth="1"/>
    <col min="10242" max="10251" width="5.7109375" style="359" customWidth="1"/>
    <col min="10252" max="10253" width="11.42578125" style="359"/>
    <col min="10254" max="10254" width="29.85546875" style="359" customWidth="1"/>
    <col min="10255" max="10261" width="7.7109375" style="359" customWidth="1"/>
    <col min="10262" max="10262" width="9" style="359" customWidth="1"/>
    <col min="10263" max="10263" width="9.7109375" style="359" customWidth="1"/>
    <col min="10264" max="10267" width="11.42578125" style="359"/>
    <col min="10268" max="10268" width="12.28515625" style="359" customWidth="1"/>
    <col min="10269" max="10496" width="11.42578125" style="359"/>
    <col min="10497" max="10497" width="19.28515625" style="359" customWidth="1"/>
    <col min="10498" max="10507" width="5.7109375" style="359" customWidth="1"/>
    <col min="10508" max="10509" width="11.42578125" style="359"/>
    <col min="10510" max="10510" width="29.85546875" style="359" customWidth="1"/>
    <col min="10511" max="10517" width="7.7109375" style="359" customWidth="1"/>
    <col min="10518" max="10518" width="9" style="359" customWidth="1"/>
    <col min="10519" max="10519" width="9.7109375" style="359" customWidth="1"/>
    <col min="10520" max="10523" width="11.42578125" style="359"/>
    <col min="10524" max="10524" width="12.28515625" style="359" customWidth="1"/>
    <col min="10525" max="10752" width="11.42578125" style="359"/>
    <col min="10753" max="10753" width="19.28515625" style="359" customWidth="1"/>
    <col min="10754" max="10763" width="5.7109375" style="359" customWidth="1"/>
    <col min="10764" max="10765" width="11.42578125" style="359"/>
    <col min="10766" max="10766" width="29.85546875" style="359" customWidth="1"/>
    <col min="10767" max="10773" width="7.7109375" style="359" customWidth="1"/>
    <col min="10774" max="10774" width="9" style="359" customWidth="1"/>
    <col min="10775" max="10775" width="9.7109375" style="359" customWidth="1"/>
    <col min="10776" max="10779" width="11.42578125" style="359"/>
    <col min="10780" max="10780" width="12.28515625" style="359" customWidth="1"/>
    <col min="10781" max="11008" width="11.42578125" style="359"/>
    <col min="11009" max="11009" width="19.28515625" style="359" customWidth="1"/>
    <col min="11010" max="11019" width="5.7109375" style="359" customWidth="1"/>
    <col min="11020" max="11021" width="11.42578125" style="359"/>
    <col min="11022" max="11022" width="29.85546875" style="359" customWidth="1"/>
    <col min="11023" max="11029" width="7.7109375" style="359" customWidth="1"/>
    <col min="11030" max="11030" width="9" style="359" customWidth="1"/>
    <col min="11031" max="11031" width="9.7109375" style="359" customWidth="1"/>
    <col min="11032" max="11035" width="11.42578125" style="359"/>
    <col min="11036" max="11036" width="12.28515625" style="359" customWidth="1"/>
    <col min="11037" max="11264" width="11.42578125" style="359"/>
    <col min="11265" max="11265" width="19.28515625" style="359" customWidth="1"/>
    <col min="11266" max="11275" width="5.7109375" style="359" customWidth="1"/>
    <col min="11276" max="11277" width="11.42578125" style="359"/>
    <col min="11278" max="11278" width="29.85546875" style="359" customWidth="1"/>
    <col min="11279" max="11285" width="7.7109375" style="359" customWidth="1"/>
    <col min="11286" max="11286" width="9" style="359" customWidth="1"/>
    <col min="11287" max="11287" width="9.7109375" style="359" customWidth="1"/>
    <col min="11288" max="11291" width="11.42578125" style="359"/>
    <col min="11292" max="11292" width="12.28515625" style="359" customWidth="1"/>
    <col min="11293" max="11520" width="11.42578125" style="359"/>
    <col min="11521" max="11521" width="19.28515625" style="359" customWidth="1"/>
    <col min="11522" max="11531" width="5.7109375" style="359" customWidth="1"/>
    <col min="11532" max="11533" width="11.42578125" style="359"/>
    <col min="11534" max="11534" width="29.85546875" style="359" customWidth="1"/>
    <col min="11535" max="11541" width="7.7109375" style="359" customWidth="1"/>
    <col min="11542" max="11542" width="9" style="359" customWidth="1"/>
    <col min="11543" max="11543" width="9.7109375" style="359" customWidth="1"/>
    <col min="11544" max="11547" width="11.42578125" style="359"/>
    <col min="11548" max="11548" width="12.28515625" style="359" customWidth="1"/>
    <col min="11549" max="11776" width="11.42578125" style="359"/>
    <col min="11777" max="11777" width="19.28515625" style="359" customWidth="1"/>
    <col min="11778" max="11787" width="5.7109375" style="359" customWidth="1"/>
    <col min="11788" max="11789" width="11.42578125" style="359"/>
    <col min="11790" max="11790" width="29.85546875" style="359" customWidth="1"/>
    <col min="11791" max="11797" width="7.7109375" style="359" customWidth="1"/>
    <col min="11798" max="11798" width="9" style="359" customWidth="1"/>
    <col min="11799" max="11799" width="9.7109375" style="359" customWidth="1"/>
    <col min="11800" max="11803" width="11.42578125" style="359"/>
    <col min="11804" max="11804" width="12.28515625" style="359" customWidth="1"/>
    <col min="11805" max="12032" width="11.42578125" style="359"/>
    <col min="12033" max="12033" width="19.28515625" style="359" customWidth="1"/>
    <col min="12034" max="12043" width="5.7109375" style="359" customWidth="1"/>
    <col min="12044" max="12045" width="11.42578125" style="359"/>
    <col min="12046" max="12046" width="29.85546875" style="359" customWidth="1"/>
    <col min="12047" max="12053" width="7.7109375" style="359" customWidth="1"/>
    <col min="12054" max="12054" width="9" style="359" customWidth="1"/>
    <col min="12055" max="12055" width="9.7109375" style="359" customWidth="1"/>
    <col min="12056" max="12059" width="11.42578125" style="359"/>
    <col min="12060" max="12060" width="12.28515625" style="359" customWidth="1"/>
    <col min="12061" max="12288" width="11.42578125" style="359"/>
    <col min="12289" max="12289" width="19.28515625" style="359" customWidth="1"/>
    <col min="12290" max="12299" width="5.7109375" style="359" customWidth="1"/>
    <col min="12300" max="12301" width="11.42578125" style="359"/>
    <col min="12302" max="12302" width="29.85546875" style="359" customWidth="1"/>
    <col min="12303" max="12309" width="7.7109375" style="359" customWidth="1"/>
    <col min="12310" max="12310" width="9" style="359" customWidth="1"/>
    <col min="12311" max="12311" width="9.7109375" style="359" customWidth="1"/>
    <col min="12312" max="12315" width="11.42578125" style="359"/>
    <col min="12316" max="12316" width="12.28515625" style="359" customWidth="1"/>
    <col min="12317" max="12544" width="11.42578125" style="359"/>
    <col min="12545" max="12545" width="19.28515625" style="359" customWidth="1"/>
    <col min="12546" max="12555" width="5.7109375" style="359" customWidth="1"/>
    <col min="12556" max="12557" width="11.42578125" style="359"/>
    <col min="12558" max="12558" width="29.85546875" style="359" customWidth="1"/>
    <col min="12559" max="12565" width="7.7109375" style="359" customWidth="1"/>
    <col min="12566" max="12566" width="9" style="359" customWidth="1"/>
    <col min="12567" max="12567" width="9.7109375" style="359" customWidth="1"/>
    <col min="12568" max="12571" width="11.42578125" style="359"/>
    <col min="12572" max="12572" width="12.28515625" style="359" customWidth="1"/>
    <col min="12573" max="12800" width="11.42578125" style="359"/>
    <col min="12801" max="12801" width="19.28515625" style="359" customWidth="1"/>
    <col min="12802" max="12811" width="5.7109375" style="359" customWidth="1"/>
    <col min="12812" max="12813" width="11.42578125" style="359"/>
    <col min="12814" max="12814" width="29.85546875" style="359" customWidth="1"/>
    <col min="12815" max="12821" width="7.7109375" style="359" customWidth="1"/>
    <col min="12822" max="12822" width="9" style="359" customWidth="1"/>
    <col min="12823" max="12823" width="9.7109375" style="359" customWidth="1"/>
    <col min="12824" max="12827" width="11.42578125" style="359"/>
    <col min="12828" max="12828" width="12.28515625" style="359" customWidth="1"/>
    <col min="12829" max="13056" width="11.42578125" style="359"/>
    <col min="13057" max="13057" width="19.28515625" style="359" customWidth="1"/>
    <col min="13058" max="13067" width="5.7109375" style="359" customWidth="1"/>
    <col min="13068" max="13069" width="11.42578125" style="359"/>
    <col min="13070" max="13070" width="29.85546875" style="359" customWidth="1"/>
    <col min="13071" max="13077" width="7.7109375" style="359" customWidth="1"/>
    <col min="13078" max="13078" width="9" style="359" customWidth="1"/>
    <col min="13079" max="13079" width="9.7109375" style="359" customWidth="1"/>
    <col min="13080" max="13083" width="11.42578125" style="359"/>
    <col min="13084" max="13084" width="12.28515625" style="359" customWidth="1"/>
    <col min="13085" max="13312" width="11.42578125" style="359"/>
    <col min="13313" max="13313" width="19.28515625" style="359" customWidth="1"/>
    <col min="13314" max="13323" width="5.7109375" style="359" customWidth="1"/>
    <col min="13324" max="13325" width="11.42578125" style="359"/>
    <col min="13326" max="13326" width="29.85546875" style="359" customWidth="1"/>
    <col min="13327" max="13333" width="7.7109375" style="359" customWidth="1"/>
    <col min="13334" max="13334" width="9" style="359" customWidth="1"/>
    <col min="13335" max="13335" width="9.7109375" style="359" customWidth="1"/>
    <col min="13336" max="13339" width="11.42578125" style="359"/>
    <col min="13340" max="13340" width="12.28515625" style="359" customWidth="1"/>
    <col min="13341" max="13568" width="11.42578125" style="359"/>
    <col min="13569" max="13569" width="19.28515625" style="359" customWidth="1"/>
    <col min="13570" max="13579" width="5.7109375" style="359" customWidth="1"/>
    <col min="13580" max="13581" width="11.42578125" style="359"/>
    <col min="13582" max="13582" width="29.85546875" style="359" customWidth="1"/>
    <col min="13583" max="13589" width="7.7109375" style="359" customWidth="1"/>
    <col min="13590" max="13590" width="9" style="359" customWidth="1"/>
    <col min="13591" max="13591" width="9.7109375" style="359" customWidth="1"/>
    <col min="13592" max="13595" width="11.42578125" style="359"/>
    <col min="13596" max="13596" width="12.28515625" style="359" customWidth="1"/>
    <col min="13597" max="13824" width="11.42578125" style="359"/>
    <col min="13825" max="13825" width="19.28515625" style="359" customWidth="1"/>
    <col min="13826" max="13835" width="5.7109375" style="359" customWidth="1"/>
    <col min="13836" max="13837" width="11.42578125" style="359"/>
    <col min="13838" max="13838" width="29.85546875" style="359" customWidth="1"/>
    <col min="13839" max="13845" width="7.7109375" style="359" customWidth="1"/>
    <col min="13846" max="13846" width="9" style="359" customWidth="1"/>
    <col min="13847" max="13847" width="9.7109375" style="359" customWidth="1"/>
    <col min="13848" max="13851" width="11.42578125" style="359"/>
    <col min="13852" max="13852" width="12.28515625" style="359" customWidth="1"/>
    <col min="13853" max="14080" width="11.42578125" style="359"/>
    <col min="14081" max="14081" width="19.28515625" style="359" customWidth="1"/>
    <col min="14082" max="14091" width="5.7109375" style="359" customWidth="1"/>
    <col min="14092" max="14093" width="11.42578125" style="359"/>
    <col min="14094" max="14094" width="29.85546875" style="359" customWidth="1"/>
    <col min="14095" max="14101" width="7.7109375" style="359" customWidth="1"/>
    <col min="14102" max="14102" width="9" style="359" customWidth="1"/>
    <col min="14103" max="14103" width="9.7109375" style="359" customWidth="1"/>
    <col min="14104" max="14107" width="11.42578125" style="359"/>
    <col min="14108" max="14108" width="12.28515625" style="359" customWidth="1"/>
    <col min="14109" max="14336" width="11.42578125" style="359"/>
    <col min="14337" max="14337" width="19.28515625" style="359" customWidth="1"/>
    <col min="14338" max="14347" width="5.7109375" style="359" customWidth="1"/>
    <col min="14348" max="14349" width="11.42578125" style="359"/>
    <col min="14350" max="14350" width="29.85546875" style="359" customWidth="1"/>
    <col min="14351" max="14357" width="7.7109375" style="359" customWidth="1"/>
    <col min="14358" max="14358" width="9" style="359" customWidth="1"/>
    <col min="14359" max="14359" width="9.7109375" style="359" customWidth="1"/>
    <col min="14360" max="14363" width="11.42578125" style="359"/>
    <col min="14364" max="14364" width="12.28515625" style="359" customWidth="1"/>
    <col min="14365" max="14592" width="11.42578125" style="359"/>
    <col min="14593" max="14593" width="19.28515625" style="359" customWidth="1"/>
    <col min="14594" max="14603" width="5.7109375" style="359" customWidth="1"/>
    <col min="14604" max="14605" width="11.42578125" style="359"/>
    <col min="14606" max="14606" width="29.85546875" style="359" customWidth="1"/>
    <col min="14607" max="14613" width="7.7109375" style="359" customWidth="1"/>
    <col min="14614" max="14614" width="9" style="359" customWidth="1"/>
    <col min="14615" max="14615" width="9.7109375" style="359" customWidth="1"/>
    <col min="14616" max="14619" width="11.42578125" style="359"/>
    <col min="14620" max="14620" width="12.28515625" style="359" customWidth="1"/>
    <col min="14621" max="14848" width="11.42578125" style="359"/>
    <col min="14849" max="14849" width="19.28515625" style="359" customWidth="1"/>
    <col min="14850" max="14859" width="5.7109375" style="359" customWidth="1"/>
    <col min="14860" max="14861" width="11.42578125" style="359"/>
    <col min="14862" max="14862" width="29.85546875" style="359" customWidth="1"/>
    <col min="14863" max="14869" width="7.7109375" style="359" customWidth="1"/>
    <col min="14870" max="14870" width="9" style="359" customWidth="1"/>
    <col min="14871" max="14871" width="9.7109375" style="359" customWidth="1"/>
    <col min="14872" max="14875" width="11.42578125" style="359"/>
    <col min="14876" max="14876" width="12.28515625" style="359" customWidth="1"/>
    <col min="14877" max="15104" width="11.42578125" style="359"/>
    <col min="15105" max="15105" width="19.28515625" style="359" customWidth="1"/>
    <col min="15106" max="15115" width="5.7109375" style="359" customWidth="1"/>
    <col min="15116" max="15117" width="11.42578125" style="359"/>
    <col min="15118" max="15118" width="29.85546875" style="359" customWidth="1"/>
    <col min="15119" max="15125" width="7.7109375" style="359" customWidth="1"/>
    <col min="15126" max="15126" width="9" style="359" customWidth="1"/>
    <col min="15127" max="15127" width="9.7109375" style="359" customWidth="1"/>
    <col min="15128" max="15131" width="11.42578125" style="359"/>
    <col min="15132" max="15132" width="12.28515625" style="359" customWidth="1"/>
    <col min="15133" max="15360" width="11.42578125" style="359"/>
    <col min="15361" max="15361" width="19.28515625" style="359" customWidth="1"/>
    <col min="15362" max="15371" width="5.7109375" style="359" customWidth="1"/>
    <col min="15372" max="15373" width="11.42578125" style="359"/>
    <col min="15374" max="15374" width="29.85546875" style="359" customWidth="1"/>
    <col min="15375" max="15381" width="7.7109375" style="359" customWidth="1"/>
    <col min="15382" max="15382" width="9" style="359" customWidth="1"/>
    <col min="15383" max="15383" width="9.7109375" style="359" customWidth="1"/>
    <col min="15384" max="15387" width="11.42578125" style="359"/>
    <col min="15388" max="15388" width="12.28515625" style="359" customWidth="1"/>
    <col min="15389" max="15616" width="11.42578125" style="359"/>
    <col min="15617" max="15617" width="19.28515625" style="359" customWidth="1"/>
    <col min="15618" max="15627" width="5.7109375" style="359" customWidth="1"/>
    <col min="15628" max="15629" width="11.42578125" style="359"/>
    <col min="15630" max="15630" width="29.85546875" style="359" customWidth="1"/>
    <col min="15631" max="15637" width="7.7109375" style="359" customWidth="1"/>
    <col min="15638" max="15638" width="9" style="359" customWidth="1"/>
    <col min="15639" max="15639" width="9.7109375" style="359" customWidth="1"/>
    <col min="15640" max="15643" width="11.42578125" style="359"/>
    <col min="15644" max="15644" width="12.28515625" style="359" customWidth="1"/>
    <col min="15645" max="15872" width="11.42578125" style="359"/>
    <col min="15873" max="15873" width="19.28515625" style="359" customWidth="1"/>
    <col min="15874" max="15883" width="5.7109375" style="359" customWidth="1"/>
    <col min="15884" max="15885" width="11.42578125" style="359"/>
    <col min="15886" max="15886" width="29.85546875" style="359" customWidth="1"/>
    <col min="15887" max="15893" width="7.7109375" style="359" customWidth="1"/>
    <col min="15894" max="15894" width="9" style="359" customWidth="1"/>
    <col min="15895" max="15895" width="9.7109375" style="359" customWidth="1"/>
    <col min="15896" max="15899" width="11.42578125" style="359"/>
    <col min="15900" max="15900" width="12.28515625" style="359" customWidth="1"/>
    <col min="15901" max="16128" width="11.42578125" style="359"/>
    <col min="16129" max="16129" width="19.28515625" style="359" customWidth="1"/>
    <col min="16130" max="16139" width="5.7109375" style="359" customWidth="1"/>
    <col min="16140" max="16141" width="11.42578125" style="359"/>
    <col min="16142" max="16142" width="29.85546875" style="359" customWidth="1"/>
    <col min="16143" max="16149" width="7.7109375" style="359" customWidth="1"/>
    <col min="16150" max="16150" width="9" style="359" customWidth="1"/>
    <col min="16151" max="16151" width="9.7109375" style="359" customWidth="1"/>
    <col min="16152" max="16155" width="11.42578125" style="359"/>
    <col min="16156" max="16156" width="12.28515625" style="359" customWidth="1"/>
    <col min="16157" max="16384" width="11.42578125" style="359"/>
  </cols>
  <sheetData>
    <row r="2" spans="1:14">
      <c r="A2" s="298" t="s">
        <v>3598</v>
      </c>
    </row>
    <row r="3" spans="1:14">
      <c r="A3" s="298" t="s">
        <v>3600</v>
      </c>
    </row>
    <row r="4" spans="1:14">
      <c r="A4" s="298" t="s">
        <v>3599</v>
      </c>
    </row>
    <row r="6" spans="1:14">
      <c r="A6" s="298" t="s">
        <v>3601</v>
      </c>
    </row>
    <row r="7" spans="1:14">
      <c r="A7" s="298" t="s">
        <v>3404</v>
      </c>
    </row>
    <row r="9" spans="1:14">
      <c r="A9" s="298" t="s">
        <v>3602</v>
      </c>
    </row>
    <row r="13" spans="1:14">
      <c r="A13" s="359" t="s">
        <v>3405</v>
      </c>
    </row>
    <row r="14" spans="1:14">
      <c r="N14" s="1196"/>
    </row>
    <row r="15" spans="1:14">
      <c r="A15" s="359" t="s">
        <v>3406</v>
      </c>
      <c r="N15" s="1196"/>
    </row>
    <row r="16" spans="1:14">
      <c r="N16" s="1196"/>
    </row>
    <row r="17" spans="1:15">
      <c r="N17" s="1196"/>
    </row>
    <row r="18" spans="1:15">
      <c r="A18" s="987" t="s">
        <v>3408</v>
      </c>
      <c r="B18" s="1204">
        <v>1</v>
      </c>
      <c r="C18" s="1204">
        <v>0</v>
      </c>
      <c r="D18" s="1204">
        <v>0</v>
      </c>
      <c r="E18" s="1204">
        <v>1</v>
      </c>
      <c r="F18" s="1204">
        <v>0</v>
      </c>
      <c r="G18" s="1204">
        <v>0</v>
      </c>
      <c r="H18" s="1204">
        <v>1</v>
      </c>
      <c r="I18" s="1204">
        <v>1</v>
      </c>
      <c r="J18" s="1205"/>
      <c r="K18" s="1205"/>
      <c r="N18" s="1196"/>
    </row>
    <row r="19" spans="1:15">
      <c r="A19" s="987" t="s">
        <v>3409</v>
      </c>
      <c r="B19" s="1195">
        <v>7</v>
      </c>
      <c r="C19" s="1195">
        <v>6</v>
      </c>
      <c r="D19" s="1195">
        <v>5</v>
      </c>
      <c r="E19" s="1195">
        <v>4</v>
      </c>
      <c r="F19" s="1195">
        <v>3</v>
      </c>
      <c r="G19" s="1195">
        <v>2</v>
      </c>
      <c r="H19" s="1195">
        <v>1</v>
      </c>
      <c r="I19" s="1195">
        <v>0</v>
      </c>
      <c r="J19" s="1195"/>
      <c r="N19" s="1196"/>
    </row>
    <row r="20" spans="1:15">
      <c r="A20" s="987"/>
      <c r="N20" s="1196"/>
    </row>
    <row r="21" spans="1:15" ht="18.75">
      <c r="A21" s="987" t="s">
        <v>3603</v>
      </c>
      <c r="B21" s="1207" t="s">
        <v>3410</v>
      </c>
      <c r="C21" s="1207" t="s">
        <v>3411</v>
      </c>
      <c r="D21" s="1207" t="s">
        <v>3412</v>
      </c>
      <c r="E21" s="1207" t="s">
        <v>3413</v>
      </c>
      <c r="F21" s="1207" t="s">
        <v>3414</v>
      </c>
      <c r="G21" s="1207" t="s">
        <v>3415</v>
      </c>
      <c r="H21" s="1207" t="s">
        <v>3416</v>
      </c>
      <c r="I21" s="1207" t="s">
        <v>3417</v>
      </c>
      <c r="J21" s="1207"/>
      <c r="N21" s="1196"/>
    </row>
    <row r="22" spans="1:15">
      <c r="A22" s="987"/>
      <c r="N22" s="1196"/>
    </row>
    <row r="23" spans="1:15">
      <c r="A23" s="987" t="s">
        <v>3604</v>
      </c>
      <c r="B23" s="1195">
        <v>128</v>
      </c>
      <c r="C23" s="1195">
        <v>64</v>
      </c>
      <c r="D23" s="1195">
        <v>32</v>
      </c>
      <c r="E23" s="1195">
        <v>16</v>
      </c>
      <c r="F23" s="1195">
        <v>8</v>
      </c>
      <c r="G23" s="1195">
        <v>4</v>
      </c>
      <c r="H23" s="1195">
        <v>2</v>
      </c>
      <c r="I23" s="1195">
        <v>1</v>
      </c>
      <c r="N23" s="1196"/>
    </row>
    <row r="24" spans="1:15">
      <c r="A24" s="987"/>
      <c r="N24" s="1196"/>
    </row>
    <row r="25" spans="1:15">
      <c r="A25" s="1244" t="s">
        <v>3605</v>
      </c>
      <c r="B25" s="1245" t="s">
        <v>3606</v>
      </c>
      <c r="C25" s="1245"/>
      <c r="D25" s="1245"/>
      <c r="E25" s="1245"/>
      <c r="F25" s="1245"/>
      <c r="G25" s="1245"/>
      <c r="H25" s="1245"/>
      <c r="I25" s="1245"/>
      <c r="J25" s="298"/>
      <c r="K25" s="298"/>
      <c r="L25" s="319"/>
      <c r="N25" s="1196"/>
    </row>
    <row r="26" spans="1:15">
      <c r="A26" s="987"/>
      <c r="L26" s="1195" t="s">
        <v>3607</v>
      </c>
      <c r="N26" s="1196"/>
    </row>
    <row r="27" spans="1:15">
      <c r="A27" s="987" t="s">
        <v>3429</v>
      </c>
      <c r="B27" s="1195">
        <v>0</v>
      </c>
      <c r="C27" s="1195">
        <v>0</v>
      </c>
      <c r="D27" s="1195">
        <v>0</v>
      </c>
      <c r="E27" s="1195">
        <v>0</v>
      </c>
      <c r="F27" s="1195">
        <v>1</v>
      </c>
      <c r="G27" s="1195">
        <v>1</v>
      </c>
      <c r="H27" s="1195">
        <v>0</v>
      </c>
      <c r="I27" s="1195">
        <v>0</v>
      </c>
      <c r="J27" s="1195"/>
      <c r="L27" s="1195">
        <v>12</v>
      </c>
      <c r="N27" s="1196"/>
    </row>
    <row r="28" spans="1:15">
      <c r="A28" s="987" t="s">
        <v>3430</v>
      </c>
      <c r="B28" s="1195">
        <v>0</v>
      </c>
      <c r="C28" s="1195">
        <v>0</v>
      </c>
      <c r="D28" s="1195">
        <v>0</v>
      </c>
      <c r="E28" s="1195">
        <v>1</v>
      </c>
      <c r="F28" s="1195">
        <v>0</v>
      </c>
      <c r="G28" s="1195">
        <v>0</v>
      </c>
      <c r="H28" s="1195">
        <v>1</v>
      </c>
      <c r="I28" s="1195">
        <v>1</v>
      </c>
      <c r="J28" s="1195"/>
      <c r="L28" s="1195">
        <v>19</v>
      </c>
      <c r="N28" s="1196"/>
    </row>
    <row r="29" spans="1:15">
      <c r="A29" s="987"/>
      <c r="B29" s="1195"/>
      <c r="C29" s="1195"/>
      <c r="D29" s="1195"/>
      <c r="E29" s="1195"/>
      <c r="F29" s="1195"/>
      <c r="G29" s="1195"/>
      <c r="H29" s="1195"/>
      <c r="I29" s="1195"/>
      <c r="J29" s="1195"/>
      <c r="N29" s="1196"/>
    </row>
    <row r="30" spans="1:15">
      <c r="A30" s="987"/>
      <c r="B30" s="1204"/>
      <c r="C30" s="1204"/>
      <c r="D30" s="1204"/>
      <c r="E30" s="1204"/>
      <c r="F30" s="1209"/>
      <c r="G30" s="1209"/>
      <c r="H30" s="1204"/>
      <c r="I30" s="1204"/>
      <c r="J30" s="1205"/>
      <c r="N30" s="1196"/>
    </row>
    <row r="31" spans="1:15">
      <c r="A31" s="987" t="s">
        <v>3418</v>
      </c>
      <c r="B31" s="1195"/>
      <c r="C31" s="1195"/>
      <c r="D31" s="1195"/>
      <c r="E31" s="1195"/>
      <c r="F31" s="1246">
        <v>8</v>
      </c>
      <c r="G31" s="1246">
        <v>4</v>
      </c>
      <c r="H31" s="1195"/>
      <c r="I31" s="1195"/>
      <c r="J31" s="1195"/>
      <c r="L31" s="1195">
        <f>SUM(C31:H31)</f>
        <v>12</v>
      </c>
    </row>
    <row r="32" spans="1:15">
      <c r="A32" s="987"/>
      <c r="B32" s="1204"/>
      <c r="C32" s="1204"/>
      <c r="D32" s="1204"/>
      <c r="E32" s="1209"/>
      <c r="F32" s="1204"/>
      <c r="G32" s="1204"/>
      <c r="H32" s="1209"/>
      <c r="I32" s="1209"/>
      <c r="J32" s="1195"/>
      <c r="O32" s="359" t="s">
        <v>3595</v>
      </c>
    </row>
    <row r="33" spans="1:17">
      <c r="A33" s="987" t="s">
        <v>3418</v>
      </c>
      <c r="B33" s="1195"/>
      <c r="C33" s="1195"/>
      <c r="D33" s="1195"/>
      <c r="E33" s="1246">
        <v>16</v>
      </c>
      <c r="F33" s="1246"/>
      <c r="G33" s="1246"/>
      <c r="H33" s="1246">
        <v>2</v>
      </c>
      <c r="I33" s="1246">
        <v>1</v>
      </c>
      <c r="J33" s="1195"/>
      <c r="L33" s="1195">
        <f>SUM(C33:H33)</f>
        <v>18</v>
      </c>
      <c r="O33" s="359" t="s">
        <v>3594</v>
      </c>
    </row>
    <row r="34" spans="1:17">
      <c r="A34" s="987"/>
      <c r="B34" s="1204"/>
      <c r="C34" s="1209"/>
      <c r="D34" s="1204"/>
      <c r="E34" s="1209"/>
      <c r="F34" s="1204"/>
      <c r="G34" s="1209"/>
      <c r="H34" s="1209"/>
      <c r="I34" s="1204"/>
      <c r="J34" s="1205"/>
    </row>
    <row r="35" spans="1:17">
      <c r="A35" s="987" t="s">
        <v>3418</v>
      </c>
      <c r="B35" s="1195"/>
      <c r="C35" s="1246">
        <v>64</v>
      </c>
      <c r="D35" s="1246"/>
      <c r="E35" s="1246">
        <v>16</v>
      </c>
      <c r="F35" s="1246"/>
      <c r="G35" s="1246">
        <v>4</v>
      </c>
      <c r="H35" s="1246">
        <v>2</v>
      </c>
      <c r="I35" s="1195"/>
      <c r="J35" s="1195"/>
      <c r="L35" s="1195">
        <f>SUM(C35:H35)</f>
        <v>86</v>
      </c>
    </row>
    <row r="37" spans="1:17">
      <c r="N37" s="1196"/>
    </row>
    <row r="38" spans="1:17">
      <c r="N38" s="1196"/>
    </row>
    <row r="39" spans="1:17">
      <c r="A39" s="359" t="s">
        <v>3608</v>
      </c>
      <c r="O39" s="1133" t="s">
        <v>4733</v>
      </c>
    </row>
    <row r="40" spans="1:17" ht="16.5" thickBot="1">
      <c r="L40" s="359"/>
    </row>
    <row r="41" spans="1:17" ht="16.5" thickBot="1">
      <c r="A41" s="1197"/>
      <c r="B41" s="1198"/>
      <c r="C41" s="1198"/>
      <c r="D41" s="1198"/>
      <c r="E41" s="1198"/>
      <c r="F41" s="1198"/>
      <c r="G41" s="1198"/>
      <c r="H41" s="1198"/>
      <c r="I41" s="1198"/>
      <c r="J41" s="1198"/>
      <c r="K41" s="1198"/>
      <c r="L41" s="1199"/>
      <c r="O41" s="1674" t="s">
        <v>3434</v>
      </c>
      <c r="P41" s="1675" t="s">
        <v>3435</v>
      </c>
      <c r="Q41" s="1674" t="s">
        <v>3436</v>
      </c>
    </row>
    <row r="42" spans="1:17">
      <c r="A42" s="1200" t="s">
        <v>672</v>
      </c>
      <c r="B42" s="1201" t="s">
        <v>3407</v>
      </c>
      <c r="C42" s="1201"/>
      <c r="D42" s="1201"/>
      <c r="E42" s="1201"/>
      <c r="F42" s="1201"/>
      <c r="G42" s="1201"/>
      <c r="H42" s="1201"/>
      <c r="I42" s="1201"/>
      <c r="J42" s="1201"/>
      <c r="K42" s="1196"/>
      <c r="L42" s="1202"/>
      <c r="O42" s="1676"/>
      <c r="P42" s="1677"/>
      <c r="Q42" s="1678"/>
    </row>
    <row r="43" spans="1:17">
      <c r="A43" s="1203"/>
      <c r="B43" s="1196"/>
      <c r="C43" s="1196"/>
      <c r="D43" s="1196"/>
      <c r="E43" s="1196"/>
      <c r="F43" s="1196"/>
      <c r="G43" s="1196"/>
      <c r="H43" s="1196"/>
      <c r="I43" s="1196"/>
      <c r="J43" s="1196"/>
      <c r="K43" s="1196"/>
      <c r="L43" s="1202"/>
      <c r="O43" s="1679">
        <v>33</v>
      </c>
      <c r="P43" s="1213" t="s">
        <v>3440</v>
      </c>
      <c r="Q43" s="1680" t="s">
        <v>3441</v>
      </c>
    </row>
    <row r="44" spans="1:17">
      <c r="A44" s="1203"/>
      <c r="B44" s="1196"/>
      <c r="C44" s="1196"/>
      <c r="D44" s="1196"/>
      <c r="E44" s="1196"/>
      <c r="F44" s="1196"/>
      <c r="G44" s="1196"/>
      <c r="H44" s="1196"/>
      <c r="I44" s="1196"/>
      <c r="J44" s="1196"/>
      <c r="K44" s="1196"/>
      <c r="L44" s="1202"/>
      <c r="O44" s="1679">
        <v>44</v>
      </c>
      <c r="P44" s="1213" t="s">
        <v>3442</v>
      </c>
      <c r="Q44" s="1680" t="s">
        <v>3443</v>
      </c>
    </row>
    <row r="45" spans="1:17">
      <c r="A45" s="1203"/>
      <c r="B45" s="1206">
        <v>0</v>
      </c>
      <c r="C45" s="1206">
        <v>0</v>
      </c>
      <c r="D45" s="1206">
        <v>1</v>
      </c>
      <c r="E45" s="1206">
        <v>1</v>
      </c>
      <c r="F45" s="1206">
        <v>1</v>
      </c>
      <c r="G45" s="1206">
        <v>0</v>
      </c>
      <c r="H45" s="1206">
        <v>1</v>
      </c>
      <c r="I45" s="1206">
        <v>0</v>
      </c>
      <c r="J45" s="1196"/>
      <c r="K45" s="1196"/>
      <c r="L45" s="1202"/>
      <c r="O45" s="1679">
        <v>45</v>
      </c>
      <c r="P45" s="1213" t="s">
        <v>4723</v>
      </c>
      <c r="Q45" s="1681" t="s">
        <v>4724</v>
      </c>
    </row>
    <row r="46" spans="1:17">
      <c r="A46" s="1203"/>
      <c r="B46" s="1196"/>
      <c r="C46" s="1196"/>
      <c r="D46" s="1196"/>
      <c r="E46" s="1196"/>
      <c r="F46" s="1196"/>
      <c r="G46" s="1196"/>
      <c r="H46" s="1196"/>
      <c r="I46" s="1196"/>
      <c r="J46" s="1196"/>
      <c r="K46" s="1196"/>
      <c r="L46" s="1202"/>
      <c r="O46" s="1679">
        <v>46</v>
      </c>
      <c r="P46" s="1213" t="s">
        <v>3445</v>
      </c>
      <c r="Q46" s="1681" t="s">
        <v>3446</v>
      </c>
    </row>
    <row r="47" spans="1:17">
      <c r="A47" s="1203"/>
      <c r="B47" s="1196"/>
      <c r="C47" s="1196"/>
      <c r="D47" s="1196"/>
      <c r="E47" s="1196"/>
      <c r="F47" s="1196"/>
      <c r="G47" s="1196"/>
      <c r="H47" s="1196"/>
      <c r="I47" s="1196"/>
      <c r="J47" s="1196"/>
      <c r="K47" s="1196"/>
      <c r="L47" s="1202"/>
      <c r="O47" s="1679">
        <v>47</v>
      </c>
      <c r="P47" s="1213" t="s">
        <v>4725</v>
      </c>
      <c r="Q47" s="1681" t="s">
        <v>4726</v>
      </c>
    </row>
    <row r="48" spans="1:17">
      <c r="A48" s="1203"/>
      <c r="B48" s="1204">
        <f t="shared" ref="B48:I48" si="0">B45</f>
        <v>0</v>
      </c>
      <c r="C48" s="1204">
        <f t="shared" si="0"/>
        <v>0</v>
      </c>
      <c r="D48" s="1204">
        <f t="shared" si="0"/>
        <v>1</v>
      </c>
      <c r="E48" s="1204">
        <f t="shared" si="0"/>
        <v>1</v>
      </c>
      <c r="F48" s="1204">
        <f t="shared" si="0"/>
        <v>1</v>
      </c>
      <c r="G48" s="1204">
        <f t="shared" si="0"/>
        <v>0</v>
      </c>
      <c r="H48" s="1204">
        <f t="shared" si="0"/>
        <v>1</v>
      </c>
      <c r="I48" s="1204">
        <f t="shared" si="0"/>
        <v>0</v>
      </c>
      <c r="J48" s="1196"/>
      <c r="K48" s="1196"/>
      <c r="L48" s="1202"/>
      <c r="O48" s="1679">
        <v>48</v>
      </c>
      <c r="P48" s="1213">
        <v>0</v>
      </c>
      <c r="Q48" s="1680" t="s">
        <v>3452</v>
      </c>
    </row>
    <row r="49" spans="1:17">
      <c r="A49" s="1203"/>
      <c r="B49" s="1196"/>
      <c r="C49" s="1196"/>
      <c r="D49" s="1196"/>
      <c r="E49" s="1196"/>
      <c r="F49" s="1196"/>
      <c r="G49" s="1196"/>
      <c r="H49" s="1196"/>
      <c r="I49" s="1196"/>
      <c r="J49" s="1196"/>
      <c r="K49" s="1196"/>
      <c r="L49" s="1202"/>
      <c r="O49" s="1679">
        <v>49</v>
      </c>
      <c r="P49" s="1213">
        <v>1</v>
      </c>
      <c r="Q49" s="1680" t="s">
        <v>3453</v>
      </c>
    </row>
    <row r="50" spans="1:17">
      <c r="A50" s="1203"/>
      <c r="B50" s="1205" t="s">
        <v>3419</v>
      </c>
      <c r="C50" s="1205" t="s">
        <v>3420</v>
      </c>
      <c r="D50" s="1205" t="s">
        <v>3421</v>
      </c>
      <c r="E50" s="1205" t="s">
        <v>3422</v>
      </c>
      <c r="F50" s="1205" t="s">
        <v>3423</v>
      </c>
      <c r="G50" s="1205" t="s">
        <v>3424</v>
      </c>
      <c r="H50" s="1205" t="s">
        <v>3425</v>
      </c>
      <c r="I50" s="1205" t="s">
        <v>3426</v>
      </c>
      <c r="J50" s="1196"/>
      <c r="K50" s="1196"/>
      <c r="L50" s="1202"/>
      <c r="O50" s="1679">
        <v>50</v>
      </c>
      <c r="P50" s="1213">
        <v>2</v>
      </c>
      <c r="Q50" s="1680" t="s">
        <v>3454</v>
      </c>
    </row>
    <row r="51" spans="1:17">
      <c r="A51" s="1203"/>
      <c r="B51" s="1196"/>
      <c r="C51" s="1196"/>
      <c r="D51" s="1196"/>
      <c r="E51" s="1196"/>
      <c r="F51" s="1196"/>
      <c r="G51" s="1196"/>
      <c r="H51" s="1196"/>
      <c r="I51" s="1196"/>
      <c r="J51" s="1196"/>
      <c r="K51" s="1196"/>
      <c r="L51" s="1202"/>
      <c r="O51" s="1679">
        <v>51</v>
      </c>
      <c r="P51" s="1213">
        <v>3</v>
      </c>
      <c r="Q51" s="1680" t="s">
        <v>3455</v>
      </c>
    </row>
    <row r="52" spans="1:17">
      <c r="A52" s="1203"/>
      <c r="B52" s="1196"/>
      <c r="C52" s="1196"/>
      <c r="D52" s="1196"/>
      <c r="E52" s="1196"/>
      <c r="F52" s="1196"/>
      <c r="G52" s="1196"/>
      <c r="H52" s="1196"/>
      <c r="I52" s="1196"/>
      <c r="J52" s="1196"/>
      <c r="K52" s="1196"/>
      <c r="L52" s="1665" t="s">
        <v>4727</v>
      </c>
      <c r="O52" s="1679">
        <v>52</v>
      </c>
      <c r="P52" s="1213">
        <v>4</v>
      </c>
      <c r="Q52" s="1680" t="s">
        <v>3456</v>
      </c>
    </row>
    <row r="53" spans="1:17">
      <c r="A53" s="1203"/>
      <c r="B53" s="1204">
        <f>IF(B45=1,2^7,0)</f>
        <v>0</v>
      </c>
      <c r="C53" s="1204">
        <f>IF(C45=1,2^6,0)</f>
        <v>0</v>
      </c>
      <c r="D53" s="1204">
        <f>IF(D45=1,2^5,0)</f>
        <v>32</v>
      </c>
      <c r="E53" s="1204">
        <f>IF(E45=1,2^4,0)</f>
        <v>16</v>
      </c>
      <c r="F53" s="1204">
        <f>IF(F45=1,2^3,0)</f>
        <v>8</v>
      </c>
      <c r="G53" s="1204">
        <f>IF(G45=1,2^2,0)</f>
        <v>0</v>
      </c>
      <c r="H53" s="1204">
        <f>IF(H45=1,2^1,0)</f>
        <v>2</v>
      </c>
      <c r="I53" s="1204">
        <f>IF(I45=1,1,0)</f>
        <v>0</v>
      </c>
      <c r="J53" s="1208" t="s">
        <v>3428</v>
      </c>
      <c r="K53" s="1666">
        <f>SUM(B53:I53)</f>
        <v>58</v>
      </c>
      <c r="L53" s="1667">
        <v>47</v>
      </c>
      <c r="O53" s="1679">
        <v>53</v>
      </c>
      <c r="P53" s="1213">
        <v>5</v>
      </c>
      <c r="Q53" s="1680" t="s">
        <v>3457</v>
      </c>
    </row>
    <row r="54" spans="1:17">
      <c r="A54" s="1203"/>
      <c r="B54" s="1196"/>
      <c r="C54" s="1196"/>
      <c r="D54" s="1196"/>
      <c r="E54" s="1196"/>
      <c r="F54" s="1196"/>
      <c r="G54" s="1196"/>
      <c r="H54" s="1196"/>
      <c r="I54" s="1196"/>
      <c r="J54" s="1196"/>
      <c r="K54" s="1668"/>
      <c r="L54" s="1669"/>
      <c r="O54" s="1679">
        <v>54</v>
      </c>
      <c r="P54" s="1213">
        <v>6</v>
      </c>
      <c r="Q54" s="1680" t="s">
        <v>3458</v>
      </c>
    </row>
    <row r="55" spans="1:17">
      <c r="A55" s="1203"/>
      <c r="B55" s="1196"/>
      <c r="C55" s="1196"/>
      <c r="D55" s="1196"/>
      <c r="E55" s="1685" t="s">
        <v>3431</v>
      </c>
      <c r="H55" s="1196"/>
      <c r="I55" s="1196"/>
      <c r="J55" s="1196"/>
      <c r="K55" s="1670"/>
      <c r="L55" s="1671"/>
      <c r="O55" s="1679">
        <v>55</v>
      </c>
      <c r="P55" s="1213">
        <v>7</v>
      </c>
      <c r="Q55" s="1680" t="s">
        <v>3459</v>
      </c>
    </row>
    <row r="56" spans="1:17">
      <c r="A56" s="1203"/>
      <c r="B56" s="1196"/>
      <c r="C56" s="1196"/>
      <c r="D56" s="1196"/>
      <c r="E56" s="1686" t="s">
        <v>4732</v>
      </c>
      <c r="H56" s="1196"/>
      <c r="I56" s="1196"/>
      <c r="J56" s="1196"/>
      <c r="K56" s="1666" t="str">
        <f>IF(ISERROR(VLOOKUP(K53,ascii,2,0)),"",VLOOKUP(K53,ascii,2,0))</f>
        <v>:</v>
      </c>
      <c r="L56" s="1672" t="str">
        <f>IF(ISERROR(VLOOKUP(L53,ascii,2,0)),"",VLOOKUP(L53,ascii,2,0))</f>
        <v xml:space="preserve"> /</v>
      </c>
      <c r="O56" s="1679">
        <v>56</v>
      </c>
      <c r="P56" s="1213">
        <v>8</v>
      </c>
      <c r="Q56" s="1680" t="s">
        <v>3460</v>
      </c>
    </row>
    <row r="57" spans="1:17" ht="16.5" thickBot="1">
      <c r="A57" s="1210"/>
      <c r="B57" s="1211"/>
      <c r="C57" s="1211"/>
      <c r="D57" s="1211"/>
      <c r="E57" s="1211"/>
      <c r="F57" s="1211"/>
      <c r="G57" s="1211"/>
      <c r="H57" s="1211"/>
      <c r="I57" s="1211"/>
      <c r="J57" s="1211"/>
      <c r="K57" s="1211"/>
      <c r="L57" s="1212"/>
      <c r="O57" s="1679">
        <v>57</v>
      </c>
      <c r="P57" s="1213">
        <v>9</v>
      </c>
      <c r="Q57" s="1680" t="s">
        <v>3461</v>
      </c>
    </row>
    <row r="58" spans="1:17">
      <c r="A58" s="1196"/>
      <c r="B58" s="1196"/>
      <c r="C58" s="1196"/>
      <c r="D58" s="1196"/>
      <c r="E58" s="1196"/>
      <c r="L58" s="359"/>
      <c r="O58" s="1679">
        <v>58</v>
      </c>
      <c r="P58" s="1213" t="s">
        <v>4728</v>
      </c>
      <c r="Q58" s="1681" t="s">
        <v>4729</v>
      </c>
    </row>
    <row r="59" spans="1:17">
      <c r="A59" s="1196"/>
      <c r="B59" s="1196"/>
      <c r="C59" s="1196"/>
      <c r="D59" s="1196"/>
      <c r="E59" s="1196"/>
      <c r="L59" s="359"/>
      <c r="O59" s="1679">
        <v>59</v>
      </c>
      <c r="P59" s="1213"/>
      <c r="Q59" s="1680"/>
    </row>
    <row r="60" spans="1:17">
      <c r="B60" s="1196"/>
      <c r="C60" s="1196"/>
      <c r="D60" s="1196"/>
      <c r="E60" s="1196"/>
      <c r="F60" s="1196"/>
      <c r="G60" s="1196"/>
      <c r="H60" s="1196"/>
      <c r="I60" s="1196"/>
      <c r="J60" s="1196"/>
      <c r="K60" s="1196"/>
      <c r="L60" s="1196"/>
      <c r="M60" s="1196"/>
      <c r="N60" s="1196"/>
      <c r="O60" s="1679">
        <v>60</v>
      </c>
      <c r="P60" s="1213"/>
      <c r="Q60" s="1680"/>
    </row>
    <row r="61" spans="1:17">
      <c r="A61" s="1196"/>
      <c r="B61" s="1196"/>
      <c r="C61" s="1196"/>
      <c r="D61" s="1196"/>
      <c r="E61" s="1196"/>
      <c r="L61" s="359"/>
      <c r="O61" s="1679">
        <v>61</v>
      </c>
      <c r="P61" s="1213"/>
      <c r="Q61" s="1680"/>
    </row>
    <row r="62" spans="1:17">
      <c r="A62" s="1" t="s">
        <v>3432</v>
      </c>
      <c r="B62" s="1196"/>
      <c r="C62" s="1196"/>
      <c r="D62" s="1196"/>
      <c r="E62" s="1196"/>
      <c r="L62" s="359"/>
      <c r="O62" s="1679">
        <v>62</v>
      </c>
      <c r="P62" s="1213"/>
      <c r="Q62" s="1680"/>
    </row>
    <row r="63" spans="1:17" ht="16.5" thickBot="1">
      <c r="A63" s="1196"/>
      <c r="B63" s="1196"/>
      <c r="C63" s="1196"/>
      <c r="D63" s="1196"/>
      <c r="E63" s="1196"/>
      <c r="F63" s="1196"/>
      <c r="G63" s="1196"/>
      <c r="H63" s="1196"/>
      <c r="I63" s="1196"/>
      <c r="J63" s="1196"/>
      <c r="K63" s="1196"/>
      <c r="L63" s="1196"/>
      <c r="O63" s="1679">
        <v>63</v>
      </c>
      <c r="P63" s="1213"/>
      <c r="Q63" s="1680"/>
    </row>
    <row r="64" spans="1:17">
      <c r="A64" s="1197"/>
      <c r="B64" s="1198"/>
      <c r="C64" s="1198"/>
      <c r="D64" s="1198"/>
      <c r="E64" s="1198"/>
      <c r="F64" s="1198"/>
      <c r="G64" s="1198"/>
      <c r="H64" s="1198"/>
      <c r="I64" s="1198"/>
      <c r="J64" s="1198"/>
      <c r="K64" s="1198"/>
      <c r="L64" s="1199"/>
      <c r="O64" s="1679">
        <v>64</v>
      </c>
      <c r="P64" s="1213" t="s">
        <v>3450</v>
      </c>
      <c r="Q64" s="1680">
        <v>1000000</v>
      </c>
    </row>
    <row r="65" spans="1:20">
      <c r="A65" s="1203"/>
      <c r="B65" s="1196"/>
      <c r="C65" s="1196"/>
      <c r="D65" s="1196"/>
      <c r="E65" s="1196"/>
      <c r="F65" s="1196"/>
      <c r="G65" s="1196"/>
      <c r="H65" s="1196"/>
      <c r="I65" s="1196"/>
      <c r="J65" s="1196"/>
      <c r="K65" s="1196"/>
      <c r="L65" s="1202"/>
      <c r="O65" s="1679">
        <v>65</v>
      </c>
      <c r="P65" s="1213" t="s">
        <v>1862</v>
      </c>
      <c r="Q65" s="1680" t="s">
        <v>3462</v>
      </c>
    </row>
    <row r="66" spans="1:20">
      <c r="A66" s="1200" t="s">
        <v>672</v>
      </c>
      <c r="B66" s="1214" t="s">
        <v>3609</v>
      </c>
      <c r="C66" s="1196"/>
      <c r="D66" s="1196"/>
      <c r="E66" s="1196"/>
      <c r="F66" s="1196"/>
      <c r="G66" s="1196"/>
      <c r="H66" s="1196"/>
      <c r="I66" s="1196"/>
      <c r="J66" s="1215" t="s">
        <v>3437</v>
      </c>
      <c r="K66" s="1216" t="s">
        <v>2494</v>
      </c>
      <c r="L66" s="1202"/>
      <c r="O66" s="1679">
        <v>66</v>
      </c>
      <c r="P66" s="1213" t="s">
        <v>3463</v>
      </c>
      <c r="Q66" s="1680" t="s">
        <v>3464</v>
      </c>
    </row>
    <row r="67" spans="1:20">
      <c r="A67" s="1203"/>
      <c r="B67" s="1214" t="s">
        <v>3610</v>
      </c>
      <c r="C67" s="1196"/>
      <c r="D67" s="1196"/>
      <c r="E67" s="1196"/>
      <c r="F67" s="1196"/>
      <c r="G67" s="1196"/>
      <c r="H67" s="1196"/>
      <c r="I67" s="1196"/>
      <c r="J67" s="1196"/>
      <c r="K67" s="1196"/>
      <c r="L67" s="1202"/>
      <c r="O67" s="1679">
        <v>67</v>
      </c>
      <c r="P67" s="1213" t="s">
        <v>3465</v>
      </c>
      <c r="Q67" s="1680" t="s">
        <v>3466</v>
      </c>
    </row>
    <row r="68" spans="1:20">
      <c r="A68" s="1203"/>
      <c r="B68" s="1196"/>
      <c r="C68" s="1196"/>
      <c r="D68" s="1196"/>
      <c r="E68" s="1196"/>
      <c r="F68" s="1196"/>
      <c r="G68" s="1196"/>
      <c r="H68" s="1196"/>
      <c r="I68" s="1196"/>
      <c r="J68" s="1196"/>
      <c r="K68" s="1196"/>
      <c r="L68" s="1202"/>
      <c r="O68" s="1679">
        <v>68</v>
      </c>
      <c r="P68" s="1213" t="s">
        <v>3467</v>
      </c>
      <c r="Q68" s="1680" t="s">
        <v>3468</v>
      </c>
    </row>
    <row r="69" spans="1:20">
      <c r="A69" s="1203"/>
      <c r="B69" s="1196"/>
      <c r="C69" s="1196"/>
      <c r="D69" s="1196"/>
      <c r="E69" s="1196"/>
      <c r="F69" s="1196"/>
      <c r="G69" s="1196"/>
      <c r="H69" s="1196"/>
      <c r="I69" s="1196"/>
      <c r="J69" s="1196"/>
      <c r="K69" s="1205"/>
      <c r="L69" s="1202"/>
      <c r="O69" s="1679">
        <v>69</v>
      </c>
      <c r="P69" s="1213" t="s">
        <v>3469</v>
      </c>
      <c r="Q69" s="1680" t="s">
        <v>3470</v>
      </c>
    </row>
    <row r="70" spans="1:20">
      <c r="A70" s="1200" t="s">
        <v>673</v>
      </c>
      <c r="B70" s="1196" t="s">
        <v>3447</v>
      </c>
      <c r="C70" s="1196"/>
      <c r="D70" s="1196"/>
      <c r="E70" s="1196"/>
      <c r="F70" s="1196"/>
      <c r="G70" s="1196"/>
      <c r="H70" s="1196"/>
      <c r="I70" s="1196"/>
      <c r="J70" s="1215" t="s">
        <v>3448</v>
      </c>
      <c r="K70" s="1217">
        <f>CODE(K66)</f>
        <v>102</v>
      </c>
      <c r="L70" s="1218"/>
      <c r="O70" s="1679">
        <v>70</v>
      </c>
      <c r="P70" s="1213" t="s">
        <v>3471</v>
      </c>
      <c r="Q70" s="1680" t="s">
        <v>3472</v>
      </c>
    </row>
    <row r="71" spans="1:20">
      <c r="A71" s="1203"/>
      <c r="B71" s="1196"/>
      <c r="C71" s="1196"/>
      <c r="D71" s="1196"/>
      <c r="E71" s="1196"/>
      <c r="F71" s="1196"/>
      <c r="G71" s="1196"/>
      <c r="H71" s="1196"/>
      <c r="I71" s="1196"/>
      <c r="J71" s="1196"/>
      <c r="K71" s="1205"/>
      <c r="L71" s="1202"/>
      <c r="O71" s="1679">
        <v>71</v>
      </c>
      <c r="P71" s="1213" t="s">
        <v>1864</v>
      </c>
      <c r="Q71" s="1680" t="s">
        <v>3473</v>
      </c>
    </row>
    <row r="72" spans="1:20">
      <c r="A72" s="1203"/>
      <c r="B72" s="1204">
        <f t="shared" ref="B72:I72" si="1">B76+B81+B86+B91+B96+B101+B106+B111</f>
        <v>0</v>
      </c>
      <c r="C72" s="1204">
        <f t="shared" si="1"/>
        <v>1</v>
      </c>
      <c r="D72" s="1204">
        <f t="shared" si="1"/>
        <v>1</v>
      </c>
      <c r="E72" s="1204">
        <f t="shared" si="1"/>
        <v>0</v>
      </c>
      <c r="F72" s="1204">
        <f t="shared" si="1"/>
        <v>0</v>
      </c>
      <c r="G72" s="1204">
        <f t="shared" si="1"/>
        <v>1</v>
      </c>
      <c r="H72" s="1204">
        <f t="shared" si="1"/>
        <v>1</v>
      </c>
      <c r="I72" s="1204">
        <f t="shared" si="1"/>
        <v>0</v>
      </c>
      <c r="J72" s="1196"/>
      <c r="K72" s="1196" t="s">
        <v>3451</v>
      </c>
      <c r="L72" s="1202"/>
      <c r="O72" s="1679">
        <v>72</v>
      </c>
      <c r="P72" s="1213" t="s">
        <v>1860</v>
      </c>
      <c r="Q72" s="1680" t="s">
        <v>3474</v>
      </c>
    </row>
    <row r="73" spans="1:20">
      <c r="A73" s="1203"/>
      <c r="B73" s="1220" t="s">
        <v>3419</v>
      </c>
      <c r="C73" s="1220" t="s">
        <v>3420</v>
      </c>
      <c r="D73" s="1220" t="s">
        <v>3421</v>
      </c>
      <c r="E73" s="1220" t="s">
        <v>3422</v>
      </c>
      <c r="F73" s="1220" t="s">
        <v>3423</v>
      </c>
      <c r="G73" s="1220" t="s">
        <v>3424</v>
      </c>
      <c r="H73" s="1220" t="s">
        <v>3425</v>
      </c>
      <c r="I73" s="1220" t="s">
        <v>3426</v>
      </c>
      <c r="J73" s="1196"/>
      <c r="K73" s="1196"/>
      <c r="L73" s="1202"/>
      <c r="O73" s="1679">
        <v>73</v>
      </c>
      <c r="P73" s="1213" t="s">
        <v>3475</v>
      </c>
      <c r="Q73" s="1680" t="s">
        <v>3476</v>
      </c>
    </row>
    <row r="74" spans="1:20" ht="16.5" thickBot="1">
      <c r="A74" s="1210"/>
      <c r="B74" s="1221"/>
      <c r="C74" s="1221"/>
      <c r="D74" s="1221"/>
      <c r="E74" s="1221"/>
      <c r="F74" s="1221"/>
      <c r="G74" s="1221"/>
      <c r="H74" s="1221"/>
      <c r="I74" s="1221"/>
      <c r="J74" s="1211"/>
      <c r="K74" s="1211"/>
      <c r="L74" s="1212"/>
      <c r="O74" s="1679">
        <v>74</v>
      </c>
      <c r="P74" s="1213" t="s">
        <v>3477</v>
      </c>
      <c r="Q74" s="1680" t="s">
        <v>3478</v>
      </c>
    </row>
    <row r="75" spans="1:20">
      <c r="A75" s="1235"/>
      <c r="B75" s="1196"/>
      <c r="C75" s="1196"/>
      <c r="D75" s="1196"/>
      <c r="E75" s="1196"/>
      <c r="F75" s="1196"/>
      <c r="G75" s="1196"/>
      <c r="H75" s="1196"/>
      <c r="I75" s="1196"/>
      <c r="J75" s="1196"/>
      <c r="K75" s="1196"/>
      <c r="L75" s="1222"/>
      <c r="O75" s="1679">
        <v>75</v>
      </c>
      <c r="P75" s="1213" t="s">
        <v>3479</v>
      </c>
      <c r="Q75" s="1680" t="s">
        <v>3480</v>
      </c>
    </row>
    <row r="76" spans="1:20">
      <c r="A76" s="1235"/>
      <c r="B76" s="1223">
        <f>IF($K$70&gt;=2^7,1,0)</f>
        <v>0</v>
      </c>
      <c r="C76" s="1223">
        <f>IF(AND($K$70&gt;=2^6,$K$70&lt;2^7),1,0)</f>
        <v>1</v>
      </c>
      <c r="D76" s="1223">
        <f>IF(AND($K$70&gt;=2^5,$K$70&lt;2^6),1,0)</f>
        <v>0</v>
      </c>
      <c r="E76" s="1223">
        <f>IF(AND($K$70&gt;=2^4,$K$70&lt;2^5),1,0)</f>
        <v>0</v>
      </c>
      <c r="F76" s="1223">
        <f>IF(AND($K$70&gt;=2^3,$K$70&lt;2^4),1,0)</f>
        <v>0</v>
      </c>
      <c r="G76" s="1223">
        <f>IF(AND($K$70&gt;=2^2,$K$70&lt;2^3),1,0)</f>
        <v>0</v>
      </c>
      <c r="H76" s="1223">
        <f>IF(AND($K$70&gt;=2^1,$K$70&lt;2^2),1,0)</f>
        <v>0</v>
      </c>
      <c r="I76" s="1223">
        <f>IF(AND($K$70&gt;=2^0,$K$70&lt;2^1),1,0)</f>
        <v>0</v>
      </c>
      <c r="J76" s="1236" t="s">
        <v>3427</v>
      </c>
      <c r="K76" s="1220">
        <f>K70</f>
        <v>102</v>
      </c>
      <c r="L76" s="1224"/>
      <c r="N76" s="169"/>
      <c r="O76" s="1679">
        <v>76</v>
      </c>
      <c r="P76" s="1213" t="s">
        <v>3481</v>
      </c>
      <c r="Q76" s="1680" t="s">
        <v>3482</v>
      </c>
    </row>
    <row r="77" spans="1:20">
      <c r="A77" s="1235"/>
      <c r="B77" s="1237"/>
      <c r="C77" s="1237"/>
      <c r="D77" s="1237"/>
      <c r="E77" s="1237"/>
      <c r="F77" s="1237"/>
      <c r="G77" s="1237"/>
      <c r="H77" s="1237"/>
      <c r="I77" s="1237"/>
      <c r="J77" s="1237"/>
      <c r="K77" s="1220"/>
      <c r="L77" s="1224"/>
      <c r="N77" s="169"/>
      <c r="O77" s="1679">
        <v>77</v>
      </c>
      <c r="P77" s="1213" t="s">
        <v>97</v>
      </c>
      <c r="Q77" s="1680" t="s">
        <v>3483</v>
      </c>
      <c r="T77" s="1196"/>
    </row>
    <row r="78" spans="1:20">
      <c r="A78" s="1235"/>
      <c r="B78" s="1220">
        <f>IF(B76=1,2^7,0)</f>
        <v>0</v>
      </c>
      <c r="C78" s="1220">
        <f>IF(C76=1,2^6,0)</f>
        <v>64</v>
      </c>
      <c r="D78" s="1220">
        <f>IF(D76=1,2^5,0)</f>
        <v>0</v>
      </c>
      <c r="E78" s="1220">
        <f>IF(E76=1,2^4,0)</f>
        <v>0</v>
      </c>
      <c r="F78" s="1220">
        <f>IF(F76=1,2^3,0)</f>
        <v>0</v>
      </c>
      <c r="G78" s="1220">
        <f>IF(G76=1,2^2,0)</f>
        <v>0</v>
      </c>
      <c r="H78" s="1220">
        <f>IF(H76=1,2^1,0)</f>
        <v>0</v>
      </c>
      <c r="I78" s="1220">
        <f>IF(I76=1,2^0,0)</f>
        <v>0</v>
      </c>
      <c r="J78" s="1236" t="s">
        <v>3428</v>
      </c>
      <c r="K78" s="1220">
        <f>SUM(B78:I78)</f>
        <v>64</v>
      </c>
      <c r="L78" s="1224"/>
      <c r="N78" s="169"/>
      <c r="O78" s="1679">
        <v>78</v>
      </c>
      <c r="P78" s="1213" t="s">
        <v>3484</v>
      </c>
      <c r="Q78" s="1680" t="s">
        <v>3485</v>
      </c>
      <c r="T78" s="1196"/>
    </row>
    <row r="79" spans="1:20">
      <c r="A79" s="1235"/>
      <c r="B79" s="1237"/>
      <c r="C79" s="1237"/>
      <c r="D79" s="1237"/>
      <c r="E79" s="1237"/>
      <c r="F79" s="1237"/>
      <c r="G79" s="1237"/>
      <c r="H79" s="1237"/>
      <c r="I79" s="1237"/>
      <c r="J79" s="1236" t="s">
        <v>3449</v>
      </c>
      <c r="K79" s="1220">
        <f>K70-K78</f>
        <v>38</v>
      </c>
      <c r="L79" s="1224"/>
      <c r="N79" s="169"/>
      <c r="O79" s="1679">
        <v>79</v>
      </c>
      <c r="P79" s="1213" t="s">
        <v>3486</v>
      </c>
      <c r="Q79" s="1680" t="s">
        <v>3487</v>
      </c>
      <c r="T79" s="1196"/>
    </row>
    <row r="80" spans="1:20">
      <c r="A80" s="1235"/>
      <c r="B80" s="1237"/>
      <c r="C80" s="1237"/>
      <c r="D80" s="1237"/>
      <c r="E80" s="1237"/>
      <c r="F80" s="1237"/>
      <c r="G80" s="1237"/>
      <c r="H80" s="1237"/>
      <c r="I80" s="1237"/>
      <c r="J80" s="1237"/>
      <c r="K80" s="1220"/>
      <c r="L80" s="1224"/>
      <c r="N80" s="169"/>
      <c r="O80" s="1679">
        <v>80</v>
      </c>
      <c r="P80" s="1213" t="s">
        <v>3488</v>
      </c>
      <c r="Q80" s="1680" t="s">
        <v>3489</v>
      </c>
      <c r="T80" s="1196"/>
    </row>
    <row r="81" spans="1:21">
      <c r="A81" s="1235"/>
      <c r="B81" s="1223">
        <f>IF(K81&gt;=2^7,1,0)</f>
        <v>0</v>
      </c>
      <c r="C81" s="1223">
        <f>IF(AND(K81&gt;=2^6,K81&lt;2^7),1,0)</f>
        <v>0</v>
      </c>
      <c r="D81" s="1223">
        <f>IF(AND(K81&gt;=2^5,K81&lt;2^6),1,0)</f>
        <v>1</v>
      </c>
      <c r="E81" s="1223">
        <f>IF(AND(K81&gt;=2^4,K81&lt;2^5),1,0)</f>
        <v>0</v>
      </c>
      <c r="F81" s="1223">
        <f>IF(AND(K81&gt;=2^3,K81&lt;2^4),1,0)</f>
        <v>0</v>
      </c>
      <c r="G81" s="1223">
        <f>IF(AND(K81&gt;=2^2,K81&lt;2^3),1,0)</f>
        <v>0</v>
      </c>
      <c r="H81" s="1223">
        <f>IF(AND(K81&gt;=2^1,K81&lt;2^2),1,0)</f>
        <v>0</v>
      </c>
      <c r="I81" s="1223">
        <f>IF(AND(K81&gt;=2^0,K81&lt;2^1),1,0)</f>
        <v>0</v>
      </c>
      <c r="J81" s="1236" t="s">
        <v>3427</v>
      </c>
      <c r="K81" s="1220">
        <f>K79</f>
        <v>38</v>
      </c>
      <c r="L81" s="1224"/>
      <c r="N81" s="169"/>
      <c r="O81" s="1679">
        <v>81</v>
      </c>
      <c r="P81" s="1213" t="s">
        <v>3490</v>
      </c>
      <c r="Q81" s="1680" t="s">
        <v>3491</v>
      </c>
      <c r="T81" s="1196"/>
    </row>
    <row r="82" spans="1:21">
      <c r="A82" s="1235"/>
      <c r="B82" s="1237"/>
      <c r="C82" s="1237"/>
      <c r="D82" s="1237"/>
      <c r="E82" s="1237"/>
      <c r="F82" s="1237"/>
      <c r="G82" s="1237"/>
      <c r="H82" s="1237"/>
      <c r="I82" s="1237"/>
      <c r="J82" s="1237"/>
      <c r="K82" s="1220"/>
      <c r="L82" s="1224"/>
      <c r="N82" s="169"/>
      <c r="O82" s="1679">
        <v>82</v>
      </c>
      <c r="P82" s="1213" t="s">
        <v>3492</v>
      </c>
      <c r="Q82" s="1680" t="s">
        <v>3493</v>
      </c>
      <c r="T82" s="1196"/>
    </row>
    <row r="83" spans="1:21">
      <c r="A83" s="1235"/>
      <c r="B83" s="1220">
        <f>IF(B81=1,2^7,0)</f>
        <v>0</v>
      </c>
      <c r="C83" s="1220">
        <f>IF(C81=1,2^6,0)</f>
        <v>0</v>
      </c>
      <c r="D83" s="1220">
        <f>IF(D81=1,2^5,0)</f>
        <v>32</v>
      </c>
      <c r="E83" s="1220">
        <f>IF(E81=1,2^4,0)</f>
        <v>0</v>
      </c>
      <c r="F83" s="1220">
        <f>IF(F81=1,2^3,0)</f>
        <v>0</v>
      </c>
      <c r="G83" s="1220">
        <f>IF(G81=1,2^2,0)</f>
        <v>0</v>
      </c>
      <c r="H83" s="1220">
        <f>IF(H81=1,2^1,0)</f>
        <v>0</v>
      </c>
      <c r="I83" s="1220">
        <f>IF(I81=1,2^0,0)</f>
        <v>0</v>
      </c>
      <c r="J83" s="1236" t="s">
        <v>3428</v>
      </c>
      <c r="K83" s="1220">
        <f>SUM(B83:I83)</f>
        <v>32</v>
      </c>
      <c r="L83" s="1224"/>
      <c r="N83" s="169"/>
      <c r="O83" s="1679">
        <v>83</v>
      </c>
      <c r="P83" s="1213" t="s">
        <v>3494</v>
      </c>
      <c r="Q83" s="1680" t="s">
        <v>3495</v>
      </c>
      <c r="T83" s="1196"/>
    </row>
    <row r="84" spans="1:21">
      <c r="A84" s="1235"/>
      <c r="B84" s="1237"/>
      <c r="C84" s="1237"/>
      <c r="D84" s="1237"/>
      <c r="E84" s="1237"/>
      <c r="F84" s="1237"/>
      <c r="G84" s="1237"/>
      <c r="H84" s="1237"/>
      <c r="I84" s="1237"/>
      <c r="J84" s="1236" t="s">
        <v>3449</v>
      </c>
      <c r="K84" s="1220">
        <f>K81-K83</f>
        <v>6</v>
      </c>
      <c r="L84" s="1224"/>
      <c r="N84" s="1239"/>
      <c r="O84" s="1679">
        <v>84</v>
      </c>
      <c r="P84" s="1213" t="s">
        <v>3496</v>
      </c>
      <c r="Q84" s="1680" t="s">
        <v>3497</v>
      </c>
      <c r="T84" s="1196"/>
    </row>
    <row r="85" spans="1:21">
      <c r="A85" s="1235"/>
      <c r="B85" s="1237"/>
      <c r="C85" s="1237"/>
      <c r="D85" s="1237"/>
      <c r="E85" s="1237"/>
      <c r="F85" s="1237"/>
      <c r="G85" s="1237"/>
      <c r="H85" s="1237"/>
      <c r="I85" s="1237"/>
      <c r="J85" s="1237"/>
      <c r="K85" s="1220"/>
      <c r="L85" s="1224"/>
      <c r="N85" s="1239"/>
      <c r="O85" s="1679">
        <v>85</v>
      </c>
      <c r="P85" s="1213" t="s">
        <v>3498</v>
      </c>
      <c r="Q85" s="1680" t="s">
        <v>3499</v>
      </c>
      <c r="T85" s="1196"/>
      <c r="U85" s="1196"/>
    </row>
    <row r="86" spans="1:21">
      <c r="A86" s="1235"/>
      <c r="B86" s="1223">
        <f>IF(K86&gt;=2^7,1,0)</f>
        <v>0</v>
      </c>
      <c r="C86" s="1223">
        <f>IF(AND(K86&gt;=2^6,K86&lt;2^7),1,0)</f>
        <v>0</v>
      </c>
      <c r="D86" s="1223">
        <f>IF(AND(K86&gt;=2^5,K86&lt;2^6),1,0)</f>
        <v>0</v>
      </c>
      <c r="E86" s="1223">
        <f>IF(AND(K86&gt;=2^4,K86&lt;2^5),1,0)</f>
        <v>0</v>
      </c>
      <c r="F86" s="1223">
        <f>IF(AND(K86&gt;=2^3,K86&lt;2^4),1,0)</f>
        <v>0</v>
      </c>
      <c r="G86" s="1223">
        <f>IF(AND(K86&gt;=2^2,K86&lt;2^3),1,0)</f>
        <v>1</v>
      </c>
      <c r="H86" s="1223">
        <f>IF(AND(K86&gt;=2^1,K86&lt;2^2),1,0)</f>
        <v>0</v>
      </c>
      <c r="I86" s="1223">
        <f>IF(AND(K86&gt;=2^0,K86&lt;2^1),1,0)</f>
        <v>0</v>
      </c>
      <c r="J86" s="1236" t="s">
        <v>3427</v>
      </c>
      <c r="K86" s="1220">
        <f>K84</f>
        <v>6</v>
      </c>
      <c r="L86" s="1224"/>
      <c r="N86" s="1239"/>
      <c r="O86" s="1679">
        <v>86</v>
      </c>
      <c r="P86" s="1213" t="s">
        <v>2505</v>
      </c>
      <c r="Q86" s="1680" t="s">
        <v>3500</v>
      </c>
      <c r="T86" s="1196"/>
      <c r="U86" s="1196"/>
    </row>
    <row r="87" spans="1:21">
      <c r="A87" s="1235"/>
      <c r="B87" s="1237"/>
      <c r="C87" s="1237"/>
      <c r="D87" s="1237"/>
      <c r="E87" s="1237"/>
      <c r="F87" s="1237"/>
      <c r="G87" s="1237"/>
      <c r="H87" s="1237"/>
      <c r="I87" s="1237"/>
      <c r="J87" s="1237"/>
      <c r="K87" s="1220"/>
      <c r="L87" s="1224"/>
      <c r="N87" s="1239"/>
      <c r="O87" s="1679">
        <v>87</v>
      </c>
      <c r="P87" s="1213" t="s">
        <v>3501</v>
      </c>
      <c r="Q87" s="1680" t="s">
        <v>3502</v>
      </c>
      <c r="T87" s="1196"/>
      <c r="U87" s="1196"/>
    </row>
    <row r="88" spans="1:21">
      <c r="A88" s="1235"/>
      <c r="B88" s="1220">
        <f>IF(B86=1,2^7,0)</f>
        <v>0</v>
      </c>
      <c r="C88" s="1220">
        <f>IF(C86=1,2^6,0)</f>
        <v>0</v>
      </c>
      <c r="D88" s="1220">
        <f>IF(D86=1,2^5,0)</f>
        <v>0</v>
      </c>
      <c r="E88" s="1220">
        <f>IF(E86=1,2^4,0)</f>
        <v>0</v>
      </c>
      <c r="F88" s="1220">
        <f>IF(F86=1,2^3,0)</f>
        <v>0</v>
      </c>
      <c r="G88" s="1220">
        <f>IF(G86=1,2^2,0)</f>
        <v>4</v>
      </c>
      <c r="H88" s="1220">
        <f>IF(H86=1,2^1,0)</f>
        <v>0</v>
      </c>
      <c r="I88" s="1220">
        <f>IF(I86=1,2^0,0)</f>
        <v>0</v>
      </c>
      <c r="J88" s="1236" t="s">
        <v>3428</v>
      </c>
      <c r="K88" s="1220">
        <f>SUM(B88:I88)</f>
        <v>4</v>
      </c>
      <c r="L88" s="1224"/>
      <c r="N88" s="1239"/>
      <c r="O88" s="1679">
        <v>88</v>
      </c>
      <c r="P88" s="1213" t="s">
        <v>213</v>
      </c>
      <c r="Q88" s="1680" t="s">
        <v>3503</v>
      </c>
      <c r="T88" s="1196"/>
      <c r="U88" s="1196"/>
    </row>
    <row r="89" spans="1:21">
      <c r="A89" s="1235"/>
      <c r="B89" s="1237"/>
      <c r="C89" s="1237"/>
      <c r="D89" s="1237"/>
      <c r="E89" s="1237"/>
      <c r="F89" s="1237"/>
      <c r="G89" s="1237"/>
      <c r="H89" s="1237"/>
      <c r="I89" s="1237"/>
      <c r="J89" s="1236" t="s">
        <v>3449</v>
      </c>
      <c r="K89" s="1220">
        <f>K86-K88</f>
        <v>2</v>
      </c>
      <c r="L89" s="1224"/>
      <c r="N89" s="1239"/>
      <c r="O89" s="1679">
        <v>89</v>
      </c>
      <c r="P89" s="1213" t="s">
        <v>3504</v>
      </c>
      <c r="Q89" s="1680" t="s">
        <v>3505</v>
      </c>
      <c r="T89" s="1196"/>
      <c r="U89" s="1196"/>
    </row>
    <row r="90" spans="1:21">
      <c r="A90" s="1235"/>
      <c r="B90" s="1237"/>
      <c r="C90" s="1237"/>
      <c r="D90" s="1237"/>
      <c r="E90" s="1237"/>
      <c r="F90" s="1237"/>
      <c r="G90" s="1237"/>
      <c r="H90" s="1237"/>
      <c r="I90" s="1237"/>
      <c r="J90" s="1237"/>
      <c r="K90" s="1220"/>
      <c r="L90" s="1224"/>
      <c r="N90" s="1239"/>
      <c r="O90" s="1679">
        <v>90</v>
      </c>
      <c r="P90" s="1213" t="s">
        <v>3506</v>
      </c>
      <c r="Q90" s="1680" t="s">
        <v>3507</v>
      </c>
      <c r="T90" s="1196"/>
      <c r="U90" s="1196"/>
    </row>
    <row r="91" spans="1:21">
      <c r="A91" s="1235"/>
      <c r="B91" s="1223">
        <f>IF(K91&gt;=2^7,1,0)</f>
        <v>0</v>
      </c>
      <c r="C91" s="1223">
        <f>IF(AND(K91&gt;=2^6,K91&lt;2^7),1,0)</f>
        <v>0</v>
      </c>
      <c r="D91" s="1223">
        <f>IF(AND(K91&gt;=2^5,K91&lt;2^6),1,0)</f>
        <v>0</v>
      </c>
      <c r="E91" s="1223">
        <f>IF(AND(K91&gt;=2^4,K91&lt;2^5),1,0)</f>
        <v>0</v>
      </c>
      <c r="F91" s="1223">
        <f>IF(AND(K91&gt;=2^3,K91&lt;2^4),1,0)</f>
        <v>0</v>
      </c>
      <c r="G91" s="1223">
        <f>IF(AND(K91&gt;=2^2,K91&lt;2^3),1,0)</f>
        <v>0</v>
      </c>
      <c r="H91" s="1223">
        <f>IF(AND(K91&gt;=2^1,K91&lt;2^2),1,0)</f>
        <v>1</v>
      </c>
      <c r="I91" s="1223">
        <f>IF(AND(K91&gt;=2^0,K91&lt;2^1),1,0)</f>
        <v>0</v>
      </c>
      <c r="J91" s="1236" t="s">
        <v>3427</v>
      </c>
      <c r="K91" s="1220">
        <f>K89</f>
        <v>2</v>
      </c>
      <c r="L91" s="1224"/>
      <c r="N91" s="1239"/>
      <c r="O91" s="1679"/>
      <c r="P91" s="1213"/>
      <c r="Q91" s="1680"/>
      <c r="T91" s="1196"/>
      <c r="U91" s="1196"/>
    </row>
    <row r="92" spans="1:21">
      <c r="A92" s="1235"/>
      <c r="B92" s="1237"/>
      <c r="C92" s="1237"/>
      <c r="D92" s="1237"/>
      <c r="E92" s="1237"/>
      <c r="F92" s="1237"/>
      <c r="G92" s="1237"/>
      <c r="H92" s="1237"/>
      <c r="I92" s="1237"/>
      <c r="J92" s="1237"/>
      <c r="K92" s="1220"/>
      <c r="L92" s="1224"/>
      <c r="N92" s="1239"/>
      <c r="O92" s="1679">
        <v>97</v>
      </c>
      <c r="P92" s="1213" t="s">
        <v>251</v>
      </c>
      <c r="Q92" s="1680" t="s">
        <v>3508</v>
      </c>
      <c r="T92" s="1196"/>
      <c r="U92" s="1196"/>
    </row>
    <row r="93" spans="1:21">
      <c r="A93" s="1235"/>
      <c r="B93" s="1220">
        <f>IF(B91=1,2^7,0)</f>
        <v>0</v>
      </c>
      <c r="C93" s="1220">
        <f>IF(C91=1,2^6,0)</f>
        <v>0</v>
      </c>
      <c r="D93" s="1220">
        <f>IF(D91=1,2^5,0)</f>
        <v>0</v>
      </c>
      <c r="E93" s="1220">
        <f>IF(E91=1,2^4,0)</f>
        <v>0</v>
      </c>
      <c r="F93" s="1220">
        <f>IF(F91=1,2^3,0)</f>
        <v>0</v>
      </c>
      <c r="G93" s="1220">
        <f>IF(G91=1,2^2,0)</f>
        <v>0</v>
      </c>
      <c r="H93" s="1220">
        <f>IF(H91=1,2^1,0)</f>
        <v>2</v>
      </c>
      <c r="I93" s="1220">
        <f>IF(I91=1,2^0,0)</f>
        <v>0</v>
      </c>
      <c r="J93" s="1236" t="s">
        <v>3428</v>
      </c>
      <c r="K93" s="1220">
        <f>SUM(B93:I93)</f>
        <v>2</v>
      </c>
      <c r="L93" s="1224"/>
      <c r="N93" s="1239"/>
      <c r="O93" s="1679">
        <v>98</v>
      </c>
      <c r="P93" s="1213" t="s">
        <v>248</v>
      </c>
      <c r="Q93" s="1680" t="s">
        <v>3509</v>
      </c>
      <c r="T93" s="1196"/>
      <c r="U93" s="1196"/>
    </row>
    <row r="94" spans="1:21">
      <c r="A94" s="1235"/>
      <c r="B94" s="1237"/>
      <c r="C94" s="1237"/>
      <c r="D94" s="1237"/>
      <c r="E94" s="1237"/>
      <c r="F94" s="1237"/>
      <c r="G94" s="1237"/>
      <c r="H94" s="1237"/>
      <c r="I94" s="1237"/>
      <c r="J94" s="1236" t="s">
        <v>3449</v>
      </c>
      <c r="K94" s="1220">
        <f>K91-K93</f>
        <v>0</v>
      </c>
      <c r="L94" s="1224"/>
      <c r="N94" s="169"/>
      <c r="O94" s="1679">
        <v>99</v>
      </c>
      <c r="P94" s="1213" t="s">
        <v>246</v>
      </c>
      <c r="Q94" s="1680" t="s">
        <v>3510</v>
      </c>
      <c r="T94" s="1196"/>
      <c r="U94" s="1196"/>
    </row>
    <row r="95" spans="1:21">
      <c r="A95" s="1235"/>
      <c r="B95" s="1237"/>
      <c r="C95" s="1237"/>
      <c r="D95" s="1237"/>
      <c r="E95" s="1237"/>
      <c r="F95" s="1237"/>
      <c r="G95" s="1237"/>
      <c r="H95" s="1237"/>
      <c r="I95" s="1237"/>
      <c r="J95" s="1237"/>
      <c r="K95" s="1237"/>
      <c r="L95" s="1225"/>
      <c r="N95" s="1239"/>
      <c r="O95" s="1679">
        <v>100</v>
      </c>
      <c r="P95" s="1213" t="s">
        <v>3511</v>
      </c>
      <c r="Q95" s="1680" t="s">
        <v>3512</v>
      </c>
      <c r="T95" s="1196"/>
      <c r="U95" s="1196"/>
    </row>
    <row r="96" spans="1:21">
      <c r="A96" s="1235"/>
      <c r="B96" s="1223">
        <f>IF(K96&gt;=2^7,1,0)</f>
        <v>0</v>
      </c>
      <c r="C96" s="1223">
        <f>IF(AND(K96&gt;=2^6,K96&lt;2^7),1,0)</f>
        <v>0</v>
      </c>
      <c r="D96" s="1223">
        <f>IF(AND(K96&gt;=2^5,K96&lt;2^6),1,0)</f>
        <v>0</v>
      </c>
      <c r="E96" s="1223">
        <f>IF(AND(K96&gt;=2^4,K96&lt;2^5),1,0)</f>
        <v>0</v>
      </c>
      <c r="F96" s="1223">
        <f>IF(AND(K96&gt;=2^3,K96&lt;2^4),1,0)</f>
        <v>0</v>
      </c>
      <c r="G96" s="1223">
        <f>IF(AND(K96&gt;=2^2,K96&lt;2^3),1,0)</f>
        <v>0</v>
      </c>
      <c r="H96" s="1223">
        <f>IF(AND(K96&gt;=2^1,K96&lt;2^2),1,0)</f>
        <v>0</v>
      </c>
      <c r="I96" s="1223">
        <f>IF(AND(K96&gt;=2^0,K96&lt;2^1),1,0)</f>
        <v>0</v>
      </c>
      <c r="J96" s="1236" t="s">
        <v>3427</v>
      </c>
      <c r="K96" s="1220">
        <f>K94</f>
        <v>0</v>
      </c>
      <c r="L96" s="1224"/>
      <c r="N96" s="1239"/>
      <c r="O96" s="1679">
        <v>101</v>
      </c>
      <c r="P96" s="1213" t="s">
        <v>3513</v>
      </c>
      <c r="Q96" s="1680" t="s">
        <v>3514</v>
      </c>
      <c r="T96" s="1196"/>
      <c r="U96" s="1196"/>
    </row>
    <row r="97" spans="1:21">
      <c r="A97" s="1235"/>
      <c r="B97" s="1237"/>
      <c r="C97" s="1237"/>
      <c r="D97" s="1237"/>
      <c r="E97" s="1237"/>
      <c r="F97" s="1237"/>
      <c r="G97" s="1237"/>
      <c r="H97" s="1237"/>
      <c r="I97" s="1237"/>
      <c r="J97" s="1237"/>
      <c r="K97" s="1220"/>
      <c r="L97" s="1224"/>
      <c r="N97" s="1239"/>
      <c r="O97" s="1679">
        <v>102</v>
      </c>
      <c r="P97" s="1213" t="s">
        <v>2494</v>
      </c>
      <c r="Q97" s="1680" t="s">
        <v>3515</v>
      </c>
      <c r="T97" s="1196"/>
      <c r="U97" s="1196"/>
    </row>
    <row r="98" spans="1:21">
      <c r="A98" s="1235"/>
      <c r="B98" s="1220">
        <f>IF(B96=1,2^7,0)</f>
        <v>0</v>
      </c>
      <c r="C98" s="1220">
        <f>IF(C96=1,2^6,0)</f>
        <v>0</v>
      </c>
      <c r="D98" s="1220">
        <f>IF(D96=1,2^5,0)</f>
        <v>0</v>
      </c>
      <c r="E98" s="1220">
        <f>IF(E96=1,2^4,0)</f>
        <v>0</v>
      </c>
      <c r="F98" s="1220">
        <f>IF(F96=1,2^3,0)</f>
        <v>0</v>
      </c>
      <c r="G98" s="1220">
        <f>IF(G96=1,2^2,0)</f>
        <v>0</v>
      </c>
      <c r="H98" s="1220">
        <f>IF(H96=1,2^1,0)</f>
        <v>0</v>
      </c>
      <c r="I98" s="1220">
        <f>IF(I96=1,2^0,0)</f>
        <v>0</v>
      </c>
      <c r="J98" s="1236" t="s">
        <v>3428</v>
      </c>
      <c r="K98" s="1220">
        <f>SUM(B98:I98)</f>
        <v>0</v>
      </c>
      <c r="L98" s="1224"/>
      <c r="N98" s="1239"/>
      <c r="O98" s="1679">
        <v>103</v>
      </c>
      <c r="P98" s="1213" t="s">
        <v>289</v>
      </c>
      <c r="Q98" s="1680" t="s">
        <v>3516</v>
      </c>
      <c r="T98" s="1196"/>
      <c r="U98" s="1196"/>
    </row>
    <row r="99" spans="1:21">
      <c r="A99" s="1235"/>
      <c r="B99" s="1237"/>
      <c r="C99" s="1237"/>
      <c r="D99" s="1237"/>
      <c r="E99" s="1237"/>
      <c r="F99" s="1237"/>
      <c r="G99" s="1237"/>
      <c r="H99" s="1237"/>
      <c r="I99" s="1237"/>
      <c r="J99" s="1236" t="s">
        <v>3449</v>
      </c>
      <c r="K99" s="1220">
        <f>K96-K98</f>
        <v>0</v>
      </c>
      <c r="L99" s="1224"/>
      <c r="N99" s="1239"/>
      <c r="O99" s="1679">
        <v>104</v>
      </c>
      <c r="P99" s="1213" t="s">
        <v>3517</v>
      </c>
      <c r="Q99" s="1680" t="s">
        <v>3518</v>
      </c>
      <c r="T99" s="1196"/>
      <c r="U99" s="1196"/>
    </row>
    <row r="100" spans="1:21">
      <c r="A100" s="1235"/>
      <c r="B100" s="1237"/>
      <c r="C100" s="1237"/>
      <c r="D100" s="1237"/>
      <c r="E100" s="1237"/>
      <c r="F100" s="1237"/>
      <c r="G100" s="1237"/>
      <c r="H100" s="1237"/>
      <c r="I100" s="1237"/>
      <c r="J100" s="1237"/>
      <c r="K100" s="1237"/>
      <c r="L100" s="1225"/>
      <c r="N100" s="1239"/>
      <c r="O100" s="1679">
        <v>105</v>
      </c>
      <c r="P100" s="1213" t="s">
        <v>3519</v>
      </c>
      <c r="Q100" s="1680" t="s">
        <v>3520</v>
      </c>
      <c r="T100" s="1196"/>
      <c r="U100" s="1196"/>
    </row>
    <row r="101" spans="1:21">
      <c r="A101" s="1235"/>
      <c r="B101" s="1223">
        <f>IF(K101&gt;=2^7,1,0)</f>
        <v>0</v>
      </c>
      <c r="C101" s="1223">
        <f>IF(AND(K101&gt;=2^6,K101&lt;2^7),1,0)</f>
        <v>0</v>
      </c>
      <c r="D101" s="1223">
        <f>IF(AND(K101&gt;=2^5,K101&lt;2^6),1,0)</f>
        <v>0</v>
      </c>
      <c r="E101" s="1223">
        <f>IF(AND(K101&gt;=2^4,K101&lt;2^5),1,0)</f>
        <v>0</v>
      </c>
      <c r="F101" s="1223">
        <f>IF(AND(K101&gt;=2^3,K101&lt;2^4),1,0)</f>
        <v>0</v>
      </c>
      <c r="G101" s="1223">
        <f>IF(AND(K101&gt;=2^2,K101&lt;2^3),1,0)</f>
        <v>0</v>
      </c>
      <c r="H101" s="1223">
        <f>IF(AND(K101&gt;=2^1,K101&lt;2^2),1,0)</f>
        <v>0</v>
      </c>
      <c r="I101" s="1223">
        <f>IF(AND(K101&gt;=2^0,K101&lt;2^1),1,0)</f>
        <v>0</v>
      </c>
      <c r="J101" s="1236" t="s">
        <v>3427</v>
      </c>
      <c r="K101" s="1220">
        <f>K99</f>
        <v>0</v>
      </c>
      <c r="L101" s="1224"/>
      <c r="N101" s="1239"/>
      <c r="O101" s="1679">
        <v>106</v>
      </c>
      <c r="P101" s="1213" t="s">
        <v>3521</v>
      </c>
      <c r="Q101" s="1680" t="s">
        <v>3522</v>
      </c>
      <c r="T101" s="1196"/>
      <c r="U101" s="1196"/>
    </row>
    <row r="102" spans="1:21">
      <c r="A102" s="1235"/>
      <c r="B102" s="1237"/>
      <c r="C102" s="1237"/>
      <c r="D102" s="1237"/>
      <c r="E102" s="1237"/>
      <c r="F102" s="1237"/>
      <c r="G102" s="1237"/>
      <c r="H102" s="1237"/>
      <c r="I102" s="1237"/>
      <c r="J102" s="1237"/>
      <c r="K102" s="1220"/>
      <c r="L102" s="1224"/>
      <c r="N102" s="1239"/>
      <c r="O102" s="1679">
        <v>107</v>
      </c>
      <c r="P102" s="1213" t="s">
        <v>3438</v>
      </c>
      <c r="Q102" s="1680" t="s">
        <v>3523</v>
      </c>
      <c r="T102" s="1196"/>
      <c r="U102" s="1196"/>
    </row>
    <row r="103" spans="1:21">
      <c r="A103" s="1235"/>
      <c r="B103" s="1220">
        <f>IF(B101=1,2^7,0)</f>
        <v>0</v>
      </c>
      <c r="C103" s="1220">
        <f>IF(C101=1,2^6,0)</f>
        <v>0</v>
      </c>
      <c r="D103" s="1220">
        <f>IF(D101=1,2^5,0)</f>
        <v>0</v>
      </c>
      <c r="E103" s="1220">
        <f>IF(E101=1,2^4,0)</f>
        <v>0</v>
      </c>
      <c r="F103" s="1220">
        <f>IF(F101=1,2^3,0)</f>
        <v>0</v>
      </c>
      <c r="G103" s="1220">
        <f>IF(G101=1,2^2,0)</f>
        <v>0</v>
      </c>
      <c r="H103" s="1220">
        <f>IF(H101=1,2^1,0)</f>
        <v>0</v>
      </c>
      <c r="I103" s="1220">
        <f>IF(I101=1,2^0,0)</f>
        <v>0</v>
      </c>
      <c r="J103" s="1236" t="s">
        <v>3428</v>
      </c>
      <c r="K103" s="1220">
        <f>SUM(B103:I103)</f>
        <v>0</v>
      </c>
      <c r="L103" s="1224"/>
      <c r="N103" s="1239"/>
      <c r="O103" s="1679">
        <v>108</v>
      </c>
      <c r="P103" s="1213" t="s">
        <v>3524</v>
      </c>
      <c r="Q103" s="1680" t="s">
        <v>3525</v>
      </c>
      <c r="T103" s="1196"/>
      <c r="U103" s="1196"/>
    </row>
    <row r="104" spans="1:21">
      <c r="A104" s="1235"/>
      <c r="B104" s="1237"/>
      <c r="C104" s="1237"/>
      <c r="D104" s="1237"/>
      <c r="E104" s="1237"/>
      <c r="F104" s="1237"/>
      <c r="G104" s="1237"/>
      <c r="H104" s="1237"/>
      <c r="I104" s="1237"/>
      <c r="J104" s="1236" t="s">
        <v>3449</v>
      </c>
      <c r="K104" s="1220">
        <f>K101-K103</f>
        <v>0</v>
      </c>
      <c r="L104" s="1224"/>
      <c r="N104" s="1239"/>
      <c r="O104" s="1679">
        <v>109</v>
      </c>
      <c r="P104" s="1213" t="s">
        <v>68</v>
      </c>
      <c r="Q104" s="1680" t="s">
        <v>3526</v>
      </c>
      <c r="T104" s="1196"/>
      <c r="U104" s="1196"/>
    </row>
    <row r="105" spans="1:21">
      <c r="A105" s="1235"/>
      <c r="B105" s="1237"/>
      <c r="C105" s="1237"/>
      <c r="D105" s="1237"/>
      <c r="E105" s="1237"/>
      <c r="F105" s="1237"/>
      <c r="G105" s="1237"/>
      <c r="H105" s="1237"/>
      <c r="I105" s="1237"/>
      <c r="J105" s="1237"/>
      <c r="K105" s="1237"/>
      <c r="L105" s="1225"/>
      <c r="N105" s="1239"/>
      <c r="O105" s="1679">
        <v>110</v>
      </c>
      <c r="P105" s="1213" t="s">
        <v>3527</v>
      </c>
      <c r="Q105" s="1680" t="s">
        <v>3528</v>
      </c>
      <c r="T105" s="1196"/>
      <c r="U105" s="1196"/>
    </row>
    <row r="106" spans="1:21">
      <c r="A106" s="1235"/>
      <c r="B106" s="1223">
        <f>IF(K106&gt;=2^7,1,0)</f>
        <v>0</v>
      </c>
      <c r="C106" s="1223">
        <f>IF(AND(K106&gt;=2^6,K106&lt;2^7),1,0)</f>
        <v>0</v>
      </c>
      <c r="D106" s="1223">
        <f>IF(AND(K106&gt;=2^5,K106&lt;2^6),1,0)</f>
        <v>0</v>
      </c>
      <c r="E106" s="1223">
        <f>IF(AND(K106&gt;=2^4,K106&lt;2^5),1,0)</f>
        <v>0</v>
      </c>
      <c r="F106" s="1223">
        <f>IF(AND(K106&gt;=2^3,K106&lt;2^4),1,0)</f>
        <v>0</v>
      </c>
      <c r="G106" s="1223">
        <f>IF(AND(K106&gt;=2^2,K106&lt;2^3),1,0)</f>
        <v>0</v>
      </c>
      <c r="H106" s="1223">
        <f>IF(AND(K106&gt;=2^1,K106&lt;2^2),1,0)</f>
        <v>0</v>
      </c>
      <c r="I106" s="1223">
        <f>IF(AND(K106&gt;=2^0,K106&lt;2^1),1,0)</f>
        <v>0</v>
      </c>
      <c r="J106" s="1236" t="s">
        <v>3427</v>
      </c>
      <c r="K106" s="1220">
        <f>K104</f>
        <v>0</v>
      </c>
      <c r="L106" s="1224"/>
      <c r="N106" s="1239"/>
      <c r="O106" s="1679">
        <v>111</v>
      </c>
      <c r="P106" s="1213" t="s">
        <v>3529</v>
      </c>
      <c r="Q106" s="1680" t="s">
        <v>3530</v>
      </c>
      <c r="T106" s="1196"/>
      <c r="U106" s="1196"/>
    </row>
    <row r="107" spans="1:21">
      <c r="A107" s="1235"/>
      <c r="B107" s="1237"/>
      <c r="C107" s="1237"/>
      <c r="D107" s="1237"/>
      <c r="E107" s="1237"/>
      <c r="F107" s="1237"/>
      <c r="G107" s="1237"/>
      <c r="H107" s="1237"/>
      <c r="I107" s="1237"/>
      <c r="J107" s="1237"/>
      <c r="K107" s="1220"/>
      <c r="L107" s="1224"/>
      <c r="N107" s="1239"/>
      <c r="O107" s="1679">
        <v>112</v>
      </c>
      <c r="P107" s="1213" t="s">
        <v>3531</v>
      </c>
      <c r="Q107" s="1680" t="s">
        <v>3532</v>
      </c>
      <c r="T107" s="1196"/>
      <c r="U107" s="1196"/>
    </row>
    <row r="108" spans="1:21">
      <c r="A108" s="1235"/>
      <c r="B108" s="1220">
        <f>IF(B106=1,2^7,0)</f>
        <v>0</v>
      </c>
      <c r="C108" s="1220">
        <f>IF(C106=1,2^6,0)</f>
        <v>0</v>
      </c>
      <c r="D108" s="1220">
        <f>IF(D106=1,2^5,0)</f>
        <v>0</v>
      </c>
      <c r="E108" s="1220">
        <f>IF(E106=1,2^4,0)</f>
        <v>0</v>
      </c>
      <c r="F108" s="1220">
        <f>IF(F106=1,2^3,0)</f>
        <v>0</v>
      </c>
      <c r="G108" s="1220">
        <f>IF(G106=1,2^2,0)</f>
        <v>0</v>
      </c>
      <c r="H108" s="1220">
        <f>IF(H106=1,2^1,0)</f>
        <v>0</v>
      </c>
      <c r="I108" s="1220">
        <f>IF(I106=1,2^0,0)</f>
        <v>0</v>
      </c>
      <c r="J108" s="1236" t="s">
        <v>3428</v>
      </c>
      <c r="K108" s="1220">
        <f>SUM(B108:I108)</f>
        <v>0</v>
      </c>
      <c r="L108" s="1224"/>
      <c r="N108" s="1239"/>
      <c r="O108" s="1679">
        <v>113</v>
      </c>
      <c r="P108" s="1213" t="s">
        <v>3533</v>
      </c>
      <c r="Q108" s="1680" t="s">
        <v>3534</v>
      </c>
      <c r="T108" s="1196"/>
      <c r="U108" s="1196"/>
    </row>
    <row r="109" spans="1:21">
      <c r="A109" s="1235"/>
      <c r="B109" s="1237"/>
      <c r="C109" s="1237"/>
      <c r="D109" s="1237"/>
      <c r="E109" s="1237"/>
      <c r="F109" s="1237"/>
      <c r="G109" s="1237"/>
      <c r="H109" s="1237"/>
      <c r="I109" s="1237"/>
      <c r="J109" s="1236" t="s">
        <v>3449</v>
      </c>
      <c r="K109" s="1220">
        <f>K106-K108</f>
        <v>0</v>
      </c>
      <c r="L109" s="1224"/>
      <c r="N109" s="1239"/>
      <c r="O109" s="1679">
        <v>114</v>
      </c>
      <c r="P109" s="1213" t="s">
        <v>3535</v>
      </c>
      <c r="Q109" s="1680" t="s">
        <v>3536</v>
      </c>
      <c r="T109" s="1196"/>
      <c r="U109" s="1196"/>
    </row>
    <row r="110" spans="1:21">
      <c r="A110" s="1235"/>
      <c r="B110" s="1237"/>
      <c r="C110" s="1237"/>
      <c r="D110" s="1237"/>
      <c r="E110" s="1237"/>
      <c r="F110" s="1237"/>
      <c r="G110" s="1237"/>
      <c r="H110" s="1237"/>
      <c r="I110" s="1237"/>
      <c r="J110" s="1237"/>
      <c r="K110" s="1237"/>
      <c r="L110" s="1225"/>
      <c r="N110" s="1239"/>
      <c r="O110" s="1679">
        <v>115</v>
      </c>
      <c r="P110" s="1213" t="s">
        <v>1435</v>
      </c>
      <c r="Q110" s="1680" t="s">
        <v>3537</v>
      </c>
      <c r="T110" s="1196"/>
      <c r="U110" s="1196"/>
    </row>
    <row r="111" spans="1:21">
      <c r="A111" s="1235"/>
      <c r="B111" s="1223">
        <f>IF(K111&gt;=2^7,1,0)</f>
        <v>0</v>
      </c>
      <c r="C111" s="1223">
        <f>IF(AND(K111&gt;=2^6,K111&lt;2^7),1,0)</f>
        <v>0</v>
      </c>
      <c r="D111" s="1223">
        <f>IF(AND(K111&gt;=2^5,K111&lt;2^6),1,0)</f>
        <v>0</v>
      </c>
      <c r="E111" s="1223">
        <f>IF(AND(K111&gt;=2^4,K111&lt;2^5),1,0)</f>
        <v>0</v>
      </c>
      <c r="F111" s="1223">
        <f>IF(AND(K111&gt;=2^3,K111&lt;2^4),1,0)</f>
        <v>0</v>
      </c>
      <c r="G111" s="1223">
        <f>IF(AND(K111&gt;=2^2,K111&lt;2^3),1,0)</f>
        <v>0</v>
      </c>
      <c r="H111" s="1223">
        <f>IF(AND(K111&gt;=2^1,K111&lt;2^2),1,0)</f>
        <v>0</v>
      </c>
      <c r="I111" s="1223">
        <f>IF(AND(K111&gt;=2^0,K111&lt;2^1),1,0)</f>
        <v>0</v>
      </c>
      <c r="J111" s="1236" t="s">
        <v>3427</v>
      </c>
      <c r="K111" s="1220">
        <f>K109</f>
        <v>0</v>
      </c>
      <c r="L111" s="1224"/>
      <c r="N111" s="1239"/>
      <c r="O111" s="1679">
        <v>116</v>
      </c>
      <c r="P111" s="1213" t="s">
        <v>3538</v>
      </c>
      <c r="Q111" s="1680" t="s">
        <v>3539</v>
      </c>
      <c r="T111" s="1196"/>
      <c r="U111" s="1196"/>
    </row>
    <row r="112" spans="1:21">
      <c r="A112" s="1235"/>
      <c r="B112" s="1237"/>
      <c r="C112" s="1237"/>
      <c r="D112" s="1237"/>
      <c r="E112" s="1237"/>
      <c r="F112" s="1237"/>
      <c r="G112" s="1237"/>
      <c r="H112" s="1237"/>
      <c r="I112" s="1237"/>
      <c r="J112" s="1237"/>
      <c r="K112" s="1220"/>
      <c r="L112" s="1224"/>
      <c r="N112" s="1239"/>
      <c r="O112" s="1679">
        <v>117</v>
      </c>
      <c r="P112" s="1213" t="s">
        <v>3540</v>
      </c>
      <c r="Q112" s="1680" t="s">
        <v>3541</v>
      </c>
      <c r="T112" s="1196"/>
      <c r="U112" s="1196"/>
    </row>
    <row r="113" spans="1:21">
      <c r="A113" s="1235"/>
      <c r="B113" s="1220">
        <f>IF(B111=1,2^7,0)</f>
        <v>0</v>
      </c>
      <c r="C113" s="1220">
        <f>IF(C111=1,2^6,0)</f>
        <v>0</v>
      </c>
      <c r="D113" s="1220">
        <f>IF(D111=1,2^5,0)</f>
        <v>0</v>
      </c>
      <c r="E113" s="1220">
        <f>IF(E111=1,2^4,0)</f>
        <v>0</v>
      </c>
      <c r="F113" s="1220">
        <f>IF(F111=1,2^3,0)</f>
        <v>0</v>
      </c>
      <c r="G113" s="1220">
        <f>IF(G111=1,2^2,0)</f>
        <v>0</v>
      </c>
      <c r="H113" s="1220">
        <f>IF(H111=1,2^1,0)</f>
        <v>0</v>
      </c>
      <c r="I113" s="1220">
        <f>IF(I111=1,2^0,0)</f>
        <v>0</v>
      </c>
      <c r="J113" s="1236" t="s">
        <v>3428</v>
      </c>
      <c r="K113" s="1220">
        <f>SUM(B113:I113)</f>
        <v>0</v>
      </c>
      <c r="L113" s="1224"/>
      <c r="N113" s="1239"/>
      <c r="O113" s="1679">
        <v>118</v>
      </c>
      <c r="P113" s="1213" t="s">
        <v>3542</v>
      </c>
      <c r="Q113" s="1680" t="s">
        <v>3543</v>
      </c>
      <c r="T113" s="1196"/>
      <c r="U113" s="1196"/>
    </row>
    <row r="114" spans="1:21">
      <c r="A114" s="1235"/>
      <c r="B114" s="1237"/>
      <c r="C114" s="1237"/>
      <c r="D114" s="1237"/>
      <c r="E114" s="1237"/>
      <c r="F114" s="1237"/>
      <c r="G114" s="1237"/>
      <c r="H114" s="1237"/>
      <c r="I114" s="1237"/>
      <c r="J114" s="1236" t="s">
        <v>3449</v>
      </c>
      <c r="K114" s="1220">
        <f>K111-K113</f>
        <v>0</v>
      </c>
      <c r="L114" s="1224"/>
      <c r="N114" s="1239"/>
      <c r="O114" s="1679">
        <v>119</v>
      </c>
      <c r="P114" s="1213" t="s">
        <v>3544</v>
      </c>
      <c r="Q114" s="1680" t="s">
        <v>3545</v>
      </c>
      <c r="T114" s="1196"/>
      <c r="U114" s="1196"/>
    </row>
    <row r="115" spans="1:21">
      <c r="A115" s="1238"/>
      <c r="B115" s="1226"/>
      <c r="C115" s="1226"/>
      <c r="D115" s="1226"/>
      <c r="E115" s="1226"/>
      <c r="F115" s="1226"/>
      <c r="G115" s="1226"/>
      <c r="H115" s="1226"/>
      <c r="I115" s="1226"/>
      <c r="J115" s="1226"/>
      <c r="K115" s="1226"/>
      <c r="L115" s="1227"/>
      <c r="N115" s="1239"/>
      <c r="O115" s="1679">
        <v>120</v>
      </c>
      <c r="P115" s="1213" t="s">
        <v>3546</v>
      </c>
      <c r="Q115" s="1680" t="s">
        <v>3547</v>
      </c>
      <c r="T115" s="1196"/>
      <c r="U115" s="1196"/>
    </row>
    <row r="116" spans="1:21">
      <c r="L116" s="359"/>
      <c r="N116" s="1239"/>
      <c r="O116" s="1679">
        <v>121</v>
      </c>
      <c r="P116" s="1213" t="s">
        <v>2493</v>
      </c>
      <c r="Q116" s="1680" t="s">
        <v>3548</v>
      </c>
      <c r="T116" s="1196"/>
      <c r="U116" s="1196"/>
    </row>
    <row r="117" spans="1:21" ht="16.5" thickBot="1">
      <c r="L117" s="359"/>
      <c r="N117" s="1239"/>
      <c r="O117" s="1682">
        <v>122</v>
      </c>
      <c r="P117" s="1683" t="s">
        <v>3549</v>
      </c>
      <c r="Q117" s="1684" t="s">
        <v>3550</v>
      </c>
      <c r="T117" s="1196"/>
      <c r="U117" s="1196"/>
    </row>
    <row r="118" spans="1:21">
      <c r="A118" s="359" t="s">
        <v>3611</v>
      </c>
      <c r="L118" s="359"/>
      <c r="N118" s="1239"/>
      <c r="P118" s="1195"/>
      <c r="T118" s="1196"/>
      <c r="U118" s="1196"/>
    </row>
    <row r="119" spans="1:21">
      <c r="L119" s="359"/>
      <c r="N119" s="1239"/>
      <c r="O119" s="1" t="s">
        <v>3551</v>
      </c>
      <c r="P119" s="1195"/>
      <c r="T119" s="1196"/>
      <c r="U119" s="1196"/>
    </row>
    <row r="120" spans="1:21">
      <c r="A120" s="1232"/>
      <c r="B120" s="1233"/>
      <c r="C120" s="1233"/>
      <c r="D120" s="1233"/>
      <c r="E120" s="1233"/>
      <c r="F120" s="1233"/>
      <c r="G120" s="1233"/>
      <c r="H120" s="1233"/>
      <c r="I120" s="1233"/>
      <c r="J120" s="1233"/>
      <c r="K120" s="1233"/>
      <c r="L120" s="1234"/>
      <c r="N120" s="1239"/>
      <c r="O120" s="1240"/>
      <c r="T120" s="1196"/>
      <c r="U120" s="1196"/>
    </row>
    <row r="121" spans="1:21">
      <c r="A121" s="1235"/>
      <c r="B121" s="1196" t="s">
        <v>3433</v>
      </c>
      <c r="C121" s="1196"/>
      <c r="D121" s="1196"/>
      <c r="E121" s="1196"/>
      <c r="F121" s="1196"/>
      <c r="G121" s="1196"/>
      <c r="H121" s="1196"/>
      <c r="I121" s="1196"/>
      <c r="J121" s="1196"/>
      <c r="K121" s="1196"/>
      <c r="L121" s="1222"/>
      <c r="N121" s="169"/>
      <c r="O121" s="1240"/>
      <c r="T121" s="1196"/>
      <c r="U121" s="1196"/>
    </row>
    <row r="122" spans="1:21">
      <c r="A122" s="1235"/>
      <c r="B122" s="1196"/>
      <c r="C122" s="1196"/>
      <c r="D122" s="1196"/>
      <c r="E122" s="1196"/>
      <c r="F122" s="1196"/>
      <c r="G122" s="1196"/>
      <c r="H122" s="1196"/>
      <c r="I122" s="1196"/>
      <c r="J122" s="1196"/>
      <c r="K122" s="1196"/>
      <c r="L122" s="1222"/>
      <c r="N122" s="1239"/>
      <c r="O122" s="1240"/>
      <c r="T122" s="1196"/>
      <c r="U122" s="1196"/>
    </row>
    <row r="123" spans="1:21">
      <c r="A123" s="1235"/>
      <c r="B123" s="1196"/>
      <c r="C123" s="1196"/>
      <c r="D123" s="1196"/>
      <c r="E123" s="1196"/>
      <c r="F123" s="1196"/>
      <c r="G123" s="1196"/>
      <c r="H123" s="1196"/>
      <c r="I123" s="1196"/>
      <c r="J123" s="1196"/>
      <c r="K123" s="1196"/>
      <c r="L123" s="1222"/>
      <c r="N123" s="1239"/>
      <c r="O123" s="1240"/>
      <c r="T123" s="1196"/>
      <c r="U123" s="1196"/>
    </row>
    <row r="124" spans="1:21">
      <c r="A124" s="1235"/>
      <c r="B124" s="1196"/>
      <c r="C124" s="1196"/>
      <c r="D124" s="1196"/>
      <c r="E124" s="1196"/>
      <c r="F124" s="1196"/>
      <c r="G124" s="1196"/>
      <c r="H124" s="1215" t="s">
        <v>3439</v>
      </c>
      <c r="I124" s="1216">
        <v>81</v>
      </c>
      <c r="J124" s="1196"/>
      <c r="K124" s="1196"/>
      <c r="L124" s="1222"/>
      <c r="N124" s="1239"/>
      <c r="O124" s="1240"/>
      <c r="T124" s="1196"/>
      <c r="U124" s="1196"/>
    </row>
    <row r="125" spans="1:21">
      <c r="A125" s="1235"/>
      <c r="B125" s="1196"/>
      <c r="C125" s="1196"/>
      <c r="D125" s="1196"/>
      <c r="E125" s="1196"/>
      <c r="F125" s="1196"/>
      <c r="G125" s="1196"/>
      <c r="H125" s="1196"/>
      <c r="I125" s="1196"/>
      <c r="J125" s="1196"/>
      <c r="K125" s="1196"/>
      <c r="L125" s="1222"/>
      <c r="N125" s="1239"/>
      <c r="O125" s="1240"/>
      <c r="T125" s="1196"/>
      <c r="U125" s="1196"/>
    </row>
    <row r="126" spans="1:21">
      <c r="A126" s="1235"/>
      <c r="B126" s="1241" t="s">
        <v>678</v>
      </c>
      <c r="C126" s="1241" t="s">
        <v>677</v>
      </c>
      <c r="D126" s="1241" t="s">
        <v>676</v>
      </c>
      <c r="E126" s="1241" t="s">
        <v>675</v>
      </c>
      <c r="F126" s="1241" t="s">
        <v>674</v>
      </c>
      <c r="G126" s="1241" t="s">
        <v>673</v>
      </c>
      <c r="H126" s="1241" t="s">
        <v>672</v>
      </c>
      <c r="I126" s="1241" t="s">
        <v>3596</v>
      </c>
      <c r="J126" s="1196"/>
      <c r="K126" s="1196"/>
      <c r="L126" s="1222"/>
      <c r="N126" s="1239"/>
      <c r="O126" s="169"/>
    </row>
    <row r="127" spans="1:21">
      <c r="A127" s="1242" t="s">
        <v>3444</v>
      </c>
      <c r="B127" s="1204">
        <f t="shared" ref="B127:H127" si="2">INT(C127/2)</f>
        <v>0</v>
      </c>
      <c r="C127" s="1204">
        <f t="shared" si="2"/>
        <v>0</v>
      </c>
      <c r="D127" s="1204">
        <f t="shared" si="2"/>
        <v>1</v>
      </c>
      <c r="E127" s="1204">
        <f t="shared" si="2"/>
        <v>2</v>
      </c>
      <c r="F127" s="1204">
        <f t="shared" si="2"/>
        <v>5</v>
      </c>
      <c r="G127" s="1204">
        <f t="shared" si="2"/>
        <v>10</v>
      </c>
      <c r="H127" s="1204">
        <f t="shared" si="2"/>
        <v>20</v>
      </c>
      <c r="I127" s="1204">
        <f>INT(I124/2)</f>
        <v>40</v>
      </c>
      <c r="J127" s="1196"/>
      <c r="K127" s="1196"/>
      <c r="L127" s="1222"/>
      <c r="N127" s="1239"/>
      <c r="O127" s="1240"/>
    </row>
    <row r="128" spans="1:21">
      <c r="A128" s="1242" t="s">
        <v>3449</v>
      </c>
      <c r="B128" s="1204">
        <f t="shared" ref="B128:G128" si="3">MOD(C127,2)</f>
        <v>0</v>
      </c>
      <c r="C128" s="1204">
        <f t="shared" si="3"/>
        <v>1</v>
      </c>
      <c r="D128" s="1204">
        <f t="shared" si="3"/>
        <v>0</v>
      </c>
      <c r="E128" s="1204">
        <f t="shared" si="3"/>
        <v>1</v>
      </c>
      <c r="F128" s="1204">
        <f t="shared" si="3"/>
        <v>0</v>
      </c>
      <c r="G128" s="1204">
        <f t="shared" si="3"/>
        <v>0</v>
      </c>
      <c r="H128" s="1204">
        <f>MOD(I127,2)</f>
        <v>0</v>
      </c>
      <c r="I128" s="1204">
        <f>MOD(I124,2)</f>
        <v>1</v>
      </c>
      <c r="J128" s="1196"/>
      <c r="K128" s="1196"/>
      <c r="L128" s="1222"/>
      <c r="N128" s="1239"/>
      <c r="O128" s="1240"/>
    </row>
    <row r="129" spans="1:15">
      <c r="A129" s="1235"/>
      <c r="B129" s="1196"/>
      <c r="C129" s="1196"/>
      <c r="D129" s="1196"/>
      <c r="E129" s="1196"/>
      <c r="F129" s="1196"/>
      <c r="G129" s="1196"/>
      <c r="H129" s="1196"/>
      <c r="I129" s="1196"/>
      <c r="J129" s="1196"/>
      <c r="K129" s="1196"/>
      <c r="L129" s="1222"/>
      <c r="N129" s="1239"/>
      <c r="O129" s="1240"/>
    </row>
    <row r="130" spans="1:15">
      <c r="A130" s="1235"/>
      <c r="B130" s="1219"/>
      <c r="C130" s="1219"/>
      <c r="D130" s="1219"/>
      <c r="E130" s="1219"/>
      <c r="F130" s="1219"/>
      <c r="G130" s="1219"/>
      <c r="H130" s="1219"/>
      <c r="I130" s="1219"/>
      <c r="J130" s="1196"/>
      <c r="K130" s="1196"/>
      <c r="L130" s="1222"/>
      <c r="N130" s="1239"/>
      <c r="O130" s="1240"/>
    </row>
    <row r="131" spans="1:15">
      <c r="A131" s="1235"/>
      <c r="B131" s="1196"/>
      <c r="C131" s="1196"/>
      <c r="D131" s="1196"/>
      <c r="E131" s="1196"/>
      <c r="F131" s="1196"/>
      <c r="G131" s="1196"/>
      <c r="H131" s="1196"/>
      <c r="I131" s="1196"/>
      <c r="J131" s="1196"/>
      <c r="K131" s="1196"/>
      <c r="L131" s="1222"/>
      <c r="N131" s="1239"/>
      <c r="O131" s="1240"/>
    </row>
    <row r="132" spans="1:15">
      <c r="A132" s="1238"/>
      <c r="B132" s="1226"/>
      <c r="C132" s="1226"/>
      <c r="D132" s="1226"/>
      <c r="E132" s="1226"/>
      <c r="F132" s="1226"/>
      <c r="G132" s="1226"/>
      <c r="H132" s="1226"/>
      <c r="I132" s="1226"/>
      <c r="J132" s="1226"/>
      <c r="K132" s="1226"/>
      <c r="L132" s="1227"/>
      <c r="N132" s="1239"/>
      <c r="O132" s="1240"/>
    </row>
    <row r="133" spans="1:15">
      <c r="L133" s="359"/>
      <c r="N133" s="1239"/>
      <c r="O133" s="1240"/>
    </row>
    <row r="134" spans="1:15">
      <c r="L134" s="359"/>
      <c r="N134" s="1239"/>
      <c r="O134" s="1240"/>
    </row>
    <row r="135" spans="1:15">
      <c r="A135"/>
      <c r="B135"/>
      <c r="C135"/>
      <c r="D135"/>
      <c r="E135"/>
      <c r="F135"/>
      <c r="G135"/>
      <c r="H135"/>
      <c r="I135"/>
      <c r="J135"/>
      <c r="K135"/>
      <c r="L135"/>
      <c r="M135"/>
      <c r="O135" s="1240"/>
    </row>
    <row r="136" spans="1:15">
      <c r="A136"/>
      <c r="B136"/>
      <c r="C136"/>
      <c r="D136"/>
      <c r="E136"/>
      <c r="F136"/>
      <c r="G136"/>
      <c r="H136"/>
      <c r="I136"/>
      <c r="J136"/>
      <c r="K136"/>
      <c r="L136"/>
      <c r="M136"/>
      <c r="O136" s="1240"/>
    </row>
    <row r="137" spans="1:15">
      <c r="A137"/>
      <c r="B137"/>
      <c r="C137"/>
      <c r="D137"/>
      <c r="E137"/>
      <c r="F137"/>
      <c r="G137"/>
      <c r="H137"/>
      <c r="I137"/>
      <c r="J137"/>
      <c r="K137"/>
      <c r="L137"/>
      <c r="M137"/>
      <c r="O137" s="1240"/>
    </row>
    <row r="138" spans="1:15">
      <c r="A138"/>
      <c r="B138"/>
      <c r="C138"/>
      <c r="D138"/>
      <c r="E138"/>
      <c r="F138"/>
      <c r="G138"/>
      <c r="H138"/>
      <c r="I138"/>
      <c r="J138"/>
      <c r="K138"/>
      <c r="L138"/>
      <c r="M138"/>
      <c r="O138" s="1240"/>
    </row>
    <row r="139" spans="1:15">
      <c r="A139"/>
      <c r="B139"/>
      <c r="C139"/>
      <c r="D139"/>
      <c r="E139"/>
      <c r="F139"/>
      <c r="G139"/>
      <c r="H139"/>
      <c r="I139"/>
      <c r="J139"/>
      <c r="K139"/>
      <c r="L139"/>
      <c r="M139"/>
      <c r="O139" s="1240"/>
    </row>
    <row r="140" spans="1:15">
      <c r="A140"/>
      <c r="B140"/>
      <c r="C140"/>
      <c r="D140"/>
      <c r="E140"/>
      <c r="F140"/>
      <c r="G140"/>
      <c r="H140"/>
      <c r="I140"/>
      <c r="J140"/>
      <c r="K140"/>
      <c r="L140"/>
      <c r="M140"/>
    </row>
    <row r="141" spans="1:15">
      <c r="A141"/>
      <c r="B141"/>
      <c r="C141"/>
      <c r="D141"/>
      <c r="E141"/>
      <c r="F141"/>
      <c r="G141"/>
      <c r="H141"/>
      <c r="I141"/>
      <c r="J141"/>
      <c r="K141"/>
      <c r="L141"/>
      <c r="M141"/>
    </row>
    <row r="142" spans="1:15">
      <c r="A142"/>
      <c r="B142"/>
      <c r="C142"/>
      <c r="D142"/>
      <c r="E142"/>
      <c r="F142"/>
      <c r="G142"/>
      <c r="H142"/>
      <c r="I142"/>
      <c r="J142"/>
      <c r="K142"/>
      <c r="L142"/>
      <c r="M142"/>
    </row>
    <row r="143" spans="1:15">
      <c r="A143"/>
      <c r="B143"/>
      <c r="C143"/>
      <c r="D143"/>
      <c r="E143"/>
      <c r="F143"/>
      <c r="G143"/>
      <c r="H143"/>
      <c r="I143"/>
      <c r="J143"/>
      <c r="K143"/>
      <c r="L143"/>
      <c r="M143"/>
    </row>
    <row r="144" spans="1:15">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t="s">
        <v>3552</v>
      </c>
      <c r="B152" s="773">
        <v>6.4</v>
      </c>
      <c r="C152" t="s">
        <v>3553</v>
      </c>
      <c r="D152" s="773" t="s">
        <v>3554</v>
      </c>
      <c r="E152"/>
      <c r="F152"/>
      <c r="G152"/>
      <c r="H152"/>
      <c r="I152"/>
      <c r="J152"/>
      <c r="K152"/>
      <c r="M152"/>
    </row>
    <row r="153" spans="1:13">
      <c r="A153" t="s">
        <v>3555</v>
      </c>
      <c r="B153" s="773">
        <v>1</v>
      </c>
      <c r="C153" t="s">
        <v>3553</v>
      </c>
      <c r="D153"/>
      <c r="E153"/>
      <c r="F153"/>
      <c r="G153"/>
      <c r="H153"/>
      <c r="I153"/>
      <c r="J153"/>
      <c r="K153"/>
      <c r="M153"/>
    </row>
    <row r="154" spans="1:13">
      <c r="A154" t="s">
        <v>3556</v>
      </c>
      <c r="B154" s="773">
        <v>10</v>
      </c>
      <c r="C154" t="s">
        <v>3553</v>
      </c>
      <c r="D154"/>
      <c r="E154"/>
      <c r="F154"/>
      <c r="G154"/>
      <c r="H154"/>
      <c r="I154"/>
      <c r="J154"/>
      <c r="K154"/>
      <c r="M154"/>
    </row>
    <row r="155" spans="1:13">
      <c r="A155" t="s">
        <v>3557</v>
      </c>
      <c r="B155" s="773">
        <v>8</v>
      </c>
      <c r="C155" t="s">
        <v>3558</v>
      </c>
      <c r="D155"/>
      <c r="E155"/>
      <c r="F155"/>
      <c r="G155"/>
      <c r="H155"/>
      <c r="I155"/>
      <c r="J155"/>
      <c r="K155"/>
      <c r="M155"/>
    </row>
    <row r="156" spans="1:13">
      <c r="A156"/>
      <c r="B156"/>
      <c r="C156"/>
      <c r="D156"/>
      <c r="E156"/>
      <c r="F156"/>
      <c r="G156"/>
      <c r="H156"/>
      <c r="I156"/>
      <c r="J156"/>
      <c r="K156"/>
      <c r="M156"/>
    </row>
    <row r="157" spans="1:13">
      <c r="A157" t="s">
        <v>3559</v>
      </c>
      <c r="B157">
        <f>2^B155</f>
        <v>256</v>
      </c>
      <c r="C157"/>
      <c r="D157" t="s">
        <v>3560</v>
      </c>
      <c r="E157"/>
      <c r="F157"/>
      <c r="G157"/>
      <c r="H157"/>
      <c r="I157"/>
      <c r="J157"/>
      <c r="K157"/>
      <c r="M157"/>
    </row>
    <row r="158" spans="1:13">
      <c r="A158" t="s">
        <v>3561</v>
      </c>
      <c r="B158">
        <f>B154-B153</f>
        <v>9</v>
      </c>
      <c r="C158" t="s">
        <v>3553</v>
      </c>
      <c r="D158" t="s">
        <v>3562</v>
      </c>
      <c r="E158"/>
      <c r="F158"/>
      <c r="G158"/>
      <c r="H158"/>
      <c r="I158"/>
      <c r="J158"/>
      <c r="K158"/>
      <c r="M158"/>
    </row>
    <row r="159" spans="1:13">
      <c r="A159" t="s">
        <v>3563</v>
      </c>
      <c r="B159">
        <f>B158/B157</f>
        <v>3.515625E-2</v>
      </c>
      <c r="C159" t="s">
        <v>3553</v>
      </c>
      <c r="D159" t="s">
        <v>3564</v>
      </c>
      <c r="E159"/>
      <c r="F159"/>
      <c r="G159"/>
      <c r="H159" t="s">
        <v>3565</v>
      </c>
      <c r="I159"/>
      <c r="J159"/>
      <c r="K159"/>
      <c r="M159"/>
    </row>
    <row r="160" spans="1:13">
      <c r="A160" t="s">
        <v>3566</v>
      </c>
      <c r="B160">
        <f>ROUNDDOWN(B152/B159,0)</f>
        <v>182</v>
      </c>
      <c r="C160"/>
      <c r="D160" t="s">
        <v>3567</v>
      </c>
      <c r="E160"/>
      <c r="F160"/>
      <c r="G160"/>
      <c r="H160" s="315" t="s">
        <v>3568</v>
      </c>
      <c r="I160"/>
      <c r="J160"/>
      <c r="K160"/>
      <c r="M160"/>
    </row>
    <row r="161" spans="1:13">
      <c r="A161"/>
      <c r="B161"/>
      <c r="C161"/>
      <c r="D161"/>
      <c r="E161"/>
      <c r="F161"/>
      <c r="G161"/>
      <c r="H161"/>
      <c r="I161"/>
      <c r="J161"/>
      <c r="K161"/>
      <c r="M161"/>
    </row>
    <row r="162" spans="1:13">
      <c r="A162"/>
      <c r="B162"/>
      <c r="C162"/>
      <c r="D162"/>
      <c r="E162"/>
      <c r="F162"/>
      <c r="G162"/>
      <c r="H162"/>
      <c r="I162"/>
      <c r="J162"/>
      <c r="K162"/>
      <c r="M162"/>
    </row>
    <row r="163" spans="1:13">
      <c r="A163"/>
      <c r="B163"/>
      <c r="C163"/>
      <c r="D163"/>
      <c r="E163"/>
      <c r="F163"/>
      <c r="G163"/>
      <c r="H163"/>
      <c r="I163"/>
      <c r="J163"/>
      <c r="K163"/>
      <c r="M163"/>
    </row>
    <row r="164" spans="1:13">
      <c r="A164" s="298" t="s">
        <v>3569</v>
      </c>
      <c r="B164" s="896" t="s">
        <v>3570</v>
      </c>
      <c r="C164" s="896" t="s">
        <v>3571</v>
      </c>
      <c r="D164" s="896" t="s">
        <v>3572</v>
      </c>
      <c r="E164" s="896" t="s">
        <v>3573</v>
      </c>
      <c r="F164" s="896" t="s">
        <v>3574</v>
      </c>
      <c r="G164" s="896" t="s">
        <v>3575</v>
      </c>
      <c r="H164" s="896" t="s">
        <v>3576</v>
      </c>
      <c r="I164" s="896" t="s">
        <v>3577</v>
      </c>
      <c r="J164"/>
      <c r="K164"/>
      <c r="M164"/>
    </row>
    <row r="165" spans="1:13">
      <c r="A165" s="319" t="s">
        <v>3578</v>
      </c>
      <c r="B165" s="908">
        <f t="shared" ref="B165:H165" si="4">C167</f>
        <v>1</v>
      </c>
      <c r="C165" s="908">
        <f t="shared" si="4"/>
        <v>2</v>
      </c>
      <c r="D165" s="908">
        <f t="shared" si="4"/>
        <v>5</v>
      </c>
      <c r="E165" s="908">
        <f t="shared" si="4"/>
        <v>11</v>
      </c>
      <c r="F165" s="908">
        <f t="shared" si="4"/>
        <v>22</v>
      </c>
      <c r="G165" s="908">
        <f t="shared" si="4"/>
        <v>45</v>
      </c>
      <c r="H165" s="908">
        <f t="shared" si="4"/>
        <v>91</v>
      </c>
      <c r="I165" s="908">
        <f>B160</f>
        <v>182</v>
      </c>
      <c r="J165"/>
      <c r="K165"/>
      <c r="M165"/>
    </row>
    <row r="166" spans="1:13">
      <c r="A166" s="319" t="s">
        <v>3579</v>
      </c>
      <c r="B166" s="908">
        <f>B165/2</f>
        <v>0.5</v>
      </c>
      <c r="C166" s="908">
        <f t="shared" ref="C166:H166" si="5">D167/2</f>
        <v>1</v>
      </c>
      <c r="D166" s="908">
        <f t="shared" si="5"/>
        <v>2.5</v>
      </c>
      <c r="E166" s="908">
        <f t="shared" si="5"/>
        <v>5.5</v>
      </c>
      <c r="F166" s="908">
        <f t="shared" si="5"/>
        <v>11</v>
      </c>
      <c r="G166" s="908">
        <f t="shared" si="5"/>
        <v>22.5</v>
      </c>
      <c r="H166" s="908">
        <f t="shared" si="5"/>
        <v>45.5</v>
      </c>
      <c r="I166" s="908">
        <f>I165/2</f>
        <v>91</v>
      </c>
      <c r="J166"/>
      <c r="K166"/>
      <c r="M166"/>
    </row>
    <row r="167" spans="1:13">
      <c r="A167" s="319" t="s">
        <v>330</v>
      </c>
      <c r="B167" s="908">
        <f t="shared" ref="B167:I167" si="6">ROUNDDOWN(B166,0)</f>
        <v>0</v>
      </c>
      <c r="C167" s="908">
        <f t="shared" si="6"/>
        <v>1</v>
      </c>
      <c r="D167" s="908">
        <f t="shared" si="6"/>
        <v>2</v>
      </c>
      <c r="E167" s="908">
        <f t="shared" si="6"/>
        <v>5</v>
      </c>
      <c r="F167" s="908">
        <f t="shared" si="6"/>
        <v>11</v>
      </c>
      <c r="G167" s="908">
        <f t="shared" si="6"/>
        <v>22</v>
      </c>
      <c r="H167" s="908">
        <f t="shared" si="6"/>
        <v>45</v>
      </c>
      <c r="I167" s="908">
        <f t="shared" si="6"/>
        <v>91</v>
      </c>
      <c r="J167"/>
      <c r="K167"/>
      <c r="M167"/>
    </row>
    <row r="168" spans="1:13">
      <c r="A168" s="319" t="s">
        <v>3580</v>
      </c>
      <c r="B168" s="903">
        <f t="shared" ref="B168:I168" si="7">MOD(B165,2)</f>
        <v>1</v>
      </c>
      <c r="C168" s="903">
        <f t="shared" si="7"/>
        <v>0</v>
      </c>
      <c r="D168" s="903">
        <f t="shared" si="7"/>
        <v>1</v>
      </c>
      <c r="E168" s="903">
        <f t="shared" si="7"/>
        <v>1</v>
      </c>
      <c r="F168" s="903">
        <f t="shared" si="7"/>
        <v>0</v>
      </c>
      <c r="G168" s="903">
        <f t="shared" si="7"/>
        <v>1</v>
      </c>
      <c r="H168" s="903">
        <f t="shared" si="7"/>
        <v>1</v>
      </c>
      <c r="I168" s="903">
        <f t="shared" si="7"/>
        <v>0</v>
      </c>
      <c r="J168"/>
      <c r="K168"/>
      <c r="M168"/>
    </row>
    <row r="169" spans="1:13">
      <c r="A169" s="319" t="s">
        <v>3581</v>
      </c>
      <c r="B169" s="318">
        <f t="shared" ref="B169:I169" si="8">IF(MOD(B165,2)=0,0,1)</f>
        <v>1</v>
      </c>
      <c r="C169" s="318">
        <f t="shared" si="8"/>
        <v>0</v>
      </c>
      <c r="D169" s="318">
        <f t="shared" si="8"/>
        <v>1</v>
      </c>
      <c r="E169" s="318">
        <f t="shared" si="8"/>
        <v>1</v>
      </c>
      <c r="F169" s="318">
        <f t="shared" si="8"/>
        <v>0</v>
      </c>
      <c r="G169" s="318">
        <f t="shared" si="8"/>
        <v>1</v>
      </c>
      <c r="H169" s="318">
        <f t="shared" si="8"/>
        <v>1</v>
      </c>
      <c r="I169" s="318">
        <f t="shared" si="8"/>
        <v>0</v>
      </c>
      <c r="J169"/>
      <c r="K169"/>
      <c r="M169"/>
    </row>
    <row r="170" spans="1:13">
      <c r="A170" s="319" t="s">
        <v>3582</v>
      </c>
      <c r="B170" s="1228" t="s">
        <v>3419</v>
      </c>
      <c r="C170" s="1228" t="s">
        <v>3420</v>
      </c>
      <c r="D170" s="1228" t="s">
        <v>3421</v>
      </c>
      <c r="E170" s="1228" t="s">
        <v>3422</v>
      </c>
      <c r="F170" s="1228" t="s">
        <v>3423</v>
      </c>
      <c r="G170" s="1228" t="s">
        <v>3424</v>
      </c>
      <c r="H170" s="1228" t="s">
        <v>3425</v>
      </c>
      <c r="I170" s="1228" t="s">
        <v>3426</v>
      </c>
      <c r="J170"/>
      <c r="K170" s="318" t="str">
        <f>D152</f>
        <v>Grün</v>
      </c>
      <c r="M170"/>
    </row>
    <row r="171" spans="1:13">
      <c r="A171" s="319" t="s">
        <v>3578</v>
      </c>
      <c r="B171" s="1229">
        <f>IF(B169=1,2^7,0)</f>
        <v>128</v>
      </c>
      <c r="C171" s="1229">
        <f>IF(C169=1,2^6,0)</f>
        <v>0</v>
      </c>
      <c r="D171" s="1229">
        <f>IF(D169=1,2^5,0)</f>
        <v>32</v>
      </c>
      <c r="E171" s="1229">
        <f>IF(E169=1,2^4,0)</f>
        <v>16</v>
      </c>
      <c r="F171" s="1229">
        <f>IF(F169=1,2^3,0)</f>
        <v>0</v>
      </c>
      <c r="G171" s="1229">
        <f>IF(G169=1,2^2,0)</f>
        <v>4</v>
      </c>
      <c r="H171" s="1229">
        <f>IF(H169=1,2^1,0)</f>
        <v>2</v>
      </c>
      <c r="I171" s="1229">
        <f>IF(I169=1,2^0,0)</f>
        <v>0</v>
      </c>
      <c r="J171"/>
      <c r="K171" s="903">
        <f>SUM(B171:I171)</f>
        <v>182</v>
      </c>
      <c r="M171"/>
    </row>
    <row r="172" spans="1:13">
      <c r="A172"/>
      <c r="B172"/>
      <c r="C172"/>
      <c r="D172"/>
      <c r="E172"/>
      <c r="F172"/>
      <c r="G172"/>
      <c r="H172"/>
      <c r="I172"/>
      <c r="J172"/>
      <c r="K172" s="896" t="s">
        <v>3583</v>
      </c>
      <c r="M172"/>
    </row>
    <row r="173" spans="1:13">
      <c r="A173" s="319" t="s">
        <v>3584</v>
      </c>
      <c r="B173" s="40"/>
      <c r="C173" s="40"/>
      <c r="D173" s="40"/>
      <c r="E173" s="40"/>
      <c r="F173" s="40"/>
      <c r="G173" s="40"/>
      <c r="H173" s="40"/>
      <c r="I173" s="40"/>
      <c r="J173"/>
      <c r="K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C177"/>
      <c r="D177"/>
      <c r="E177"/>
      <c r="F177"/>
      <c r="G177"/>
      <c r="H177"/>
      <c r="I177"/>
      <c r="J177"/>
      <c r="K177"/>
      <c r="L177"/>
      <c r="M177"/>
    </row>
    <row r="178" spans="1:13">
      <c r="A178" s="896" t="s">
        <v>471</v>
      </c>
      <c r="B178"/>
      <c r="C178"/>
      <c r="D178"/>
      <c r="E178"/>
      <c r="F178"/>
      <c r="G178"/>
      <c r="H178"/>
      <c r="I178"/>
      <c r="J178"/>
      <c r="K178"/>
      <c r="L178"/>
      <c r="M178"/>
    </row>
    <row r="179" spans="1:13">
      <c r="A179"/>
      <c r="B179"/>
      <c r="C179"/>
      <c r="D179"/>
      <c r="E179"/>
      <c r="F179"/>
      <c r="G179"/>
      <c r="H179"/>
      <c r="I179"/>
      <c r="J179"/>
      <c r="K179"/>
      <c r="L179"/>
      <c r="M179"/>
    </row>
    <row r="180" spans="1:13">
      <c r="A180"/>
      <c r="B180" s="298" t="s">
        <v>3585</v>
      </c>
      <c r="C180"/>
      <c r="D180"/>
      <c r="E180"/>
      <c r="F180"/>
      <c r="G180"/>
      <c r="H180"/>
      <c r="I180"/>
      <c r="J180" s="318" t="s">
        <v>3451</v>
      </c>
      <c r="K180"/>
      <c r="L180"/>
      <c r="M180"/>
    </row>
    <row r="181" spans="1:13">
      <c r="A181"/>
      <c r="B181"/>
      <c r="C181" s="319" t="s">
        <v>3578</v>
      </c>
      <c r="D181" s="319" t="s">
        <v>3579</v>
      </c>
      <c r="E181" s="440" t="s">
        <v>330</v>
      </c>
      <c r="F181" s="319" t="s">
        <v>3580</v>
      </c>
      <c r="G181" s="319" t="s">
        <v>3581</v>
      </c>
      <c r="H181" s="319" t="s">
        <v>3582</v>
      </c>
      <c r="I181" s="319" t="s">
        <v>3578</v>
      </c>
      <c r="J181"/>
      <c r="K181"/>
      <c r="L181"/>
      <c r="M181" s="903"/>
    </row>
    <row r="182" spans="1:13">
      <c r="A182"/>
      <c r="B182" s="896" t="s">
        <v>3577</v>
      </c>
      <c r="C182" s="908">
        <f>B160</f>
        <v>182</v>
      </c>
      <c r="D182" s="908">
        <f>C182/2</f>
        <v>91</v>
      </c>
      <c r="E182" s="908">
        <f>ROUNDDOWN(D182,0)</f>
        <v>91</v>
      </c>
      <c r="F182" s="903">
        <f>MOD(C182,2)</f>
        <v>0</v>
      </c>
      <c r="G182" s="318">
        <f>IF(MOD(C182,2)=0,0,1)</f>
        <v>0</v>
      </c>
      <c r="H182" s="1228" t="s">
        <v>3426</v>
      </c>
      <c r="I182" s="1229">
        <f>IF(G182=1,2^0,0)</f>
        <v>0</v>
      </c>
      <c r="J182" s="40"/>
      <c r="K182"/>
      <c r="L182"/>
      <c r="M182"/>
    </row>
    <row r="183" spans="1:13">
      <c r="A183"/>
      <c r="B183" s="896" t="s">
        <v>3576</v>
      </c>
      <c r="C183" s="908">
        <f>E182</f>
        <v>91</v>
      </c>
      <c r="D183" s="908">
        <f>E182/2</f>
        <v>45.5</v>
      </c>
      <c r="E183" s="908">
        <f t="shared" ref="E183:E189" si="9">ROUNDDOWN(D183,0)</f>
        <v>45</v>
      </c>
      <c r="F183" s="903">
        <f t="shared" ref="F183:F189" si="10">MOD(C183,2)</f>
        <v>1</v>
      </c>
      <c r="G183" s="318">
        <f t="shared" ref="G183:G189" si="11">IF(MOD(C183,2)=0,0,1)</f>
        <v>1</v>
      </c>
      <c r="H183" s="1228" t="s">
        <v>3425</v>
      </c>
      <c r="I183" s="1229">
        <f>IF(G183=1,2^1,0)</f>
        <v>2</v>
      </c>
      <c r="J183" s="40"/>
      <c r="K183"/>
      <c r="L183"/>
      <c r="M183"/>
    </row>
    <row r="184" spans="1:13">
      <c r="A184"/>
      <c r="B184" s="896" t="s">
        <v>3575</v>
      </c>
      <c r="C184" s="908">
        <f t="shared" ref="C184:C189" si="12">E183</f>
        <v>45</v>
      </c>
      <c r="D184" s="908">
        <f t="shared" ref="D184:D189" si="13">E183/2</f>
        <v>22.5</v>
      </c>
      <c r="E184" s="908">
        <f t="shared" si="9"/>
        <v>22</v>
      </c>
      <c r="F184" s="903">
        <f t="shared" si="10"/>
        <v>1</v>
      </c>
      <c r="G184" s="318">
        <f t="shared" si="11"/>
        <v>1</v>
      </c>
      <c r="H184" s="1228" t="s">
        <v>3424</v>
      </c>
      <c r="I184" s="1229">
        <f>IF(G184=1,2^2,0)</f>
        <v>4</v>
      </c>
      <c r="J184" s="40"/>
      <c r="K184"/>
      <c r="L184"/>
      <c r="M184"/>
    </row>
    <row r="185" spans="1:13">
      <c r="A185"/>
      <c r="B185" s="896" t="s">
        <v>3574</v>
      </c>
      <c r="C185" s="908">
        <f t="shared" si="12"/>
        <v>22</v>
      </c>
      <c r="D185" s="908">
        <f t="shared" si="13"/>
        <v>11</v>
      </c>
      <c r="E185" s="908">
        <f t="shared" si="9"/>
        <v>11</v>
      </c>
      <c r="F185" s="903">
        <f t="shared" si="10"/>
        <v>0</v>
      </c>
      <c r="G185" s="318">
        <f t="shared" si="11"/>
        <v>0</v>
      </c>
      <c r="H185" s="1228" t="s">
        <v>3423</v>
      </c>
      <c r="I185" s="1229">
        <f>IF(G185=1,2^3,0)</f>
        <v>0</v>
      </c>
      <c r="J185" s="40"/>
      <c r="K185"/>
      <c r="L185"/>
      <c r="M185"/>
    </row>
    <row r="186" spans="1:13">
      <c r="A186"/>
      <c r="B186" s="896" t="s">
        <v>3573</v>
      </c>
      <c r="C186" s="908">
        <f t="shared" si="12"/>
        <v>11</v>
      </c>
      <c r="D186" s="908">
        <f t="shared" si="13"/>
        <v>5.5</v>
      </c>
      <c r="E186" s="908">
        <f t="shared" si="9"/>
        <v>5</v>
      </c>
      <c r="F186" s="903">
        <f t="shared" si="10"/>
        <v>1</v>
      </c>
      <c r="G186" s="318">
        <f t="shared" si="11"/>
        <v>1</v>
      </c>
      <c r="H186" s="1228" t="s">
        <v>3422</v>
      </c>
      <c r="I186" s="1229">
        <f>IF(G186=1,2^4,0)</f>
        <v>16</v>
      </c>
      <c r="J186" s="40"/>
      <c r="K186"/>
      <c r="L186"/>
      <c r="M186"/>
    </row>
    <row r="187" spans="1:13">
      <c r="A187"/>
      <c r="B187" s="896" t="s">
        <v>3572</v>
      </c>
      <c r="C187" s="908">
        <f t="shared" si="12"/>
        <v>5</v>
      </c>
      <c r="D187" s="908">
        <f t="shared" si="13"/>
        <v>2.5</v>
      </c>
      <c r="E187" s="908">
        <f t="shared" si="9"/>
        <v>2</v>
      </c>
      <c r="F187" s="903">
        <f t="shared" si="10"/>
        <v>1</v>
      </c>
      <c r="G187" s="318">
        <f t="shared" si="11"/>
        <v>1</v>
      </c>
      <c r="H187" s="1228" t="s">
        <v>3421</v>
      </c>
      <c r="I187" s="1229">
        <f>IF(G187=1,2^5,0)</f>
        <v>32</v>
      </c>
      <c r="J187" s="40"/>
      <c r="K187"/>
      <c r="L187"/>
      <c r="M187"/>
    </row>
    <row r="188" spans="1:13">
      <c r="A188"/>
      <c r="B188" s="896" t="s">
        <v>3571</v>
      </c>
      <c r="C188" s="908">
        <f t="shared" si="12"/>
        <v>2</v>
      </c>
      <c r="D188" s="908">
        <f t="shared" si="13"/>
        <v>1</v>
      </c>
      <c r="E188" s="908">
        <f t="shared" si="9"/>
        <v>1</v>
      </c>
      <c r="F188" s="903">
        <f t="shared" si="10"/>
        <v>0</v>
      </c>
      <c r="G188" s="318">
        <f t="shared" si="11"/>
        <v>0</v>
      </c>
      <c r="H188" s="1228" t="s">
        <v>3420</v>
      </c>
      <c r="I188" s="1229">
        <f>IF(G188=1,2^6,0)</f>
        <v>0</v>
      </c>
      <c r="J188" s="40"/>
      <c r="K188"/>
      <c r="L188"/>
      <c r="M188"/>
    </row>
    <row r="189" spans="1:13">
      <c r="A189"/>
      <c r="B189" s="896" t="s">
        <v>3570</v>
      </c>
      <c r="C189" s="908">
        <f t="shared" si="12"/>
        <v>1</v>
      </c>
      <c r="D189" s="908">
        <f t="shared" si="13"/>
        <v>0.5</v>
      </c>
      <c r="E189" s="908">
        <f t="shared" si="9"/>
        <v>0</v>
      </c>
      <c r="F189" s="903">
        <f t="shared" si="10"/>
        <v>1</v>
      </c>
      <c r="G189" s="318">
        <f t="shared" si="11"/>
        <v>1</v>
      </c>
      <c r="H189" s="1228" t="s">
        <v>3419</v>
      </c>
      <c r="I189" s="1229">
        <f>IF(G189=1,2^7,0)</f>
        <v>128</v>
      </c>
      <c r="J189" s="40"/>
      <c r="K189"/>
      <c r="L189"/>
      <c r="M189"/>
    </row>
    <row r="190" spans="1:13">
      <c r="A190"/>
      <c r="B190"/>
      <c r="C190"/>
      <c r="D190"/>
      <c r="E190"/>
      <c r="F190"/>
      <c r="G190"/>
      <c r="H190"/>
      <c r="I190"/>
      <c r="J190"/>
      <c r="K190"/>
      <c r="L190"/>
      <c r="M190"/>
    </row>
    <row r="191" spans="1:13">
      <c r="A191"/>
      <c r="B191"/>
      <c r="C191"/>
      <c r="D191"/>
      <c r="E191"/>
      <c r="F191"/>
      <c r="G191"/>
      <c r="H191"/>
      <c r="I191" s="903">
        <f>SUM(I182:I189)</f>
        <v>182</v>
      </c>
      <c r="J191"/>
      <c r="K191"/>
      <c r="L191"/>
      <c r="M191"/>
    </row>
    <row r="192" spans="1:13">
      <c r="A192"/>
      <c r="B192"/>
      <c r="C192"/>
      <c r="D192"/>
      <c r="E192"/>
      <c r="F192"/>
      <c r="G192"/>
      <c r="H192"/>
      <c r="I192" s="896" t="s">
        <v>3583</v>
      </c>
      <c r="J192"/>
      <c r="K192"/>
      <c r="L192"/>
      <c r="M192"/>
    </row>
    <row r="193" spans="1:13">
      <c r="A193"/>
      <c r="B193" s="38"/>
      <c r="C193" s="38"/>
      <c r="D193" s="38"/>
      <c r="E193" s="38"/>
      <c r="F193" s="38"/>
      <c r="G193" s="38"/>
      <c r="H193" s="38"/>
      <c r="I193" s="38"/>
      <c r="J193" s="38"/>
      <c r="K193" s="38"/>
      <c r="L193" s="38"/>
      <c r="M193"/>
    </row>
    <row r="194" spans="1:13">
      <c r="A194"/>
      <c r="B194" s="298" t="s">
        <v>3597</v>
      </c>
      <c r="C194"/>
      <c r="D194"/>
      <c r="E194"/>
      <c r="F194"/>
      <c r="G194"/>
      <c r="H194"/>
      <c r="I194"/>
      <c r="J194"/>
      <c r="K194"/>
      <c r="L194"/>
      <c r="M194"/>
    </row>
    <row r="195" spans="1:13">
      <c r="B195"/>
      <c r="C195"/>
      <c r="D195"/>
      <c r="E195"/>
      <c r="F195"/>
      <c r="G195"/>
      <c r="H195"/>
      <c r="I195"/>
      <c r="J195"/>
      <c r="K195"/>
      <c r="M195"/>
    </row>
    <row r="196" spans="1:13">
      <c r="A196" s="253" t="s">
        <v>3586</v>
      </c>
      <c r="B196" s="506" t="s">
        <v>3587</v>
      </c>
      <c r="C196" s="506" t="s">
        <v>3588</v>
      </c>
      <c r="D196"/>
      <c r="E196"/>
      <c r="F196"/>
      <c r="G196"/>
      <c r="H196"/>
      <c r="I196"/>
      <c r="J196"/>
      <c r="K196"/>
      <c r="M196"/>
    </row>
    <row r="197" spans="1:13">
      <c r="A197" s="254" t="s">
        <v>251</v>
      </c>
      <c r="B197" s="1187">
        <v>3.8</v>
      </c>
      <c r="C197" s="1187">
        <v>8.5</v>
      </c>
      <c r="D197" s="315" t="s">
        <v>3553</v>
      </c>
      <c r="E197"/>
      <c r="F197"/>
      <c r="G197"/>
      <c r="H197"/>
      <c r="I197"/>
      <c r="J197"/>
      <c r="K197"/>
      <c r="M197"/>
    </row>
    <row r="198" spans="1:13">
      <c r="A198" s="254" t="s">
        <v>248</v>
      </c>
      <c r="B198" s="1187">
        <v>2.9</v>
      </c>
      <c r="C198" s="1187">
        <v>8.1999999999999993</v>
      </c>
      <c r="D198" s="315" t="s">
        <v>3553</v>
      </c>
      <c r="E198"/>
      <c r="F198"/>
      <c r="G198"/>
      <c r="H198"/>
      <c r="I198"/>
      <c r="J198"/>
      <c r="K198"/>
      <c r="M198"/>
    </row>
    <row r="199" spans="1:13">
      <c r="A199" s="254" t="s">
        <v>246</v>
      </c>
      <c r="B199" s="1187">
        <v>4.1500000000000004</v>
      </c>
      <c r="C199" s="1187">
        <v>8.35</v>
      </c>
      <c r="D199" s="315" t="s">
        <v>3553</v>
      </c>
      <c r="E199"/>
      <c r="F199"/>
      <c r="G199"/>
      <c r="H199"/>
      <c r="I199"/>
      <c r="J199"/>
      <c r="K199"/>
      <c r="M199"/>
    </row>
    <row r="200" spans="1:13">
      <c r="A200" s="254" t="s">
        <v>3511</v>
      </c>
      <c r="B200" s="1187">
        <v>3.5</v>
      </c>
      <c r="C200" s="1187">
        <v>8.6</v>
      </c>
      <c r="D200" s="315" t="s">
        <v>3553</v>
      </c>
      <c r="E200"/>
      <c r="F200"/>
      <c r="G200"/>
      <c r="H200"/>
      <c r="I200"/>
      <c r="J200"/>
      <c r="K200"/>
      <c r="M200"/>
    </row>
    <row r="201" spans="1:13">
      <c r="A201" s="56"/>
      <c r="B201" s="897"/>
      <c r="C201" s="897"/>
      <c r="D201"/>
      <c r="E201"/>
      <c r="F201"/>
      <c r="G201"/>
      <c r="H201"/>
      <c r="I201"/>
      <c r="J201"/>
      <c r="K201"/>
      <c r="M201"/>
    </row>
    <row r="202" spans="1:13">
      <c r="A202" s="253" t="s">
        <v>3589</v>
      </c>
      <c r="B202" s="1243">
        <f>AVERAGE(B197:B200)</f>
        <v>3.5874999999999999</v>
      </c>
      <c r="C202" s="1243">
        <f>AVERAGE(C197:C200)</f>
        <v>8.4124999999999996</v>
      </c>
      <c r="D202"/>
      <c r="E202"/>
      <c r="F202"/>
      <c r="G202"/>
      <c r="H202"/>
      <c r="I202"/>
      <c r="J202"/>
      <c r="K202"/>
      <c r="M202"/>
    </row>
    <row r="203" spans="1:13" ht="16.5" thickBot="1">
      <c r="A203" s="327"/>
      <c r="B203" s="327"/>
      <c r="C203" s="327"/>
      <c r="D203" s="327"/>
      <c r="E203" s="327"/>
      <c r="F203" s="327"/>
      <c r="G203" s="327"/>
      <c r="H203" s="327"/>
      <c r="I203" s="327"/>
      <c r="J203" s="327"/>
      <c r="K203" s="327"/>
      <c r="L203" s="327"/>
      <c r="M203"/>
    </row>
    <row r="204" spans="1:13">
      <c r="A204"/>
      <c r="B204"/>
      <c r="C204"/>
      <c r="D204"/>
      <c r="E204"/>
      <c r="F204"/>
      <c r="G204"/>
      <c r="H204"/>
      <c r="I204"/>
      <c r="J204"/>
      <c r="K204"/>
      <c r="M204"/>
    </row>
    <row r="205" spans="1:13">
      <c r="A205" t="s">
        <v>3552</v>
      </c>
      <c r="B205" s="1230">
        <f>B202</f>
        <v>3.5874999999999999</v>
      </c>
      <c r="C205" t="s">
        <v>3553</v>
      </c>
      <c r="D205" s="773" t="s">
        <v>3587</v>
      </c>
      <c r="E205"/>
      <c r="F205"/>
      <c r="G205"/>
      <c r="H205"/>
      <c r="I205"/>
      <c r="J205"/>
      <c r="K205"/>
      <c r="M205"/>
    </row>
    <row r="206" spans="1:13">
      <c r="A206" t="s">
        <v>3555</v>
      </c>
      <c r="B206" s="216">
        <f>B153</f>
        <v>1</v>
      </c>
      <c r="C206" t="s">
        <v>3553</v>
      </c>
      <c r="D206"/>
      <c r="E206"/>
      <c r="F206"/>
      <c r="G206"/>
      <c r="H206"/>
      <c r="I206"/>
      <c r="J206"/>
      <c r="K206"/>
      <c r="M206"/>
    </row>
    <row r="207" spans="1:13">
      <c r="A207" t="s">
        <v>3556</v>
      </c>
      <c r="B207" s="216">
        <f>B154</f>
        <v>10</v>
      </c>
      <c r="C207" t="s">
        <v>3553</v>
      </c>
      <c r="D207"/>
      <c r="E207"/>
      <c r="F207"/>
      <c r="G207"/>
      <c r="H207"/>
      <c r="I207"/>
      <c r="J207"/>
      <c r="K207"/>
      <c r="M207"/>
    </row>
    <row r="208" spans="1:13">
      <c r="A208" t="s">
        <v>3557</v>
      </c>
      <c r="B208" s="1231">
        <f>B155</f>
        <v>8</v>
      </c>
      <c r="C208" t="s">
        <v>3558</v>
      </c>
      <c r="D208"/>
      <c r="E208"/>
      <c r="F208"/>
      <c r="G208"/>
      <c r="H208"/>
      <c r="I208"/>
      <c r="J208"/>
      <c r="K208"/>
      <c r="M208"/>
    </row>
    <row r="209" spans="1:13">
      <c r="A209"/>
      <c r="B209"/>
      <c r="C209"/>
      <c r="D209"/>
      <c r="E209"/>
      <c r="F209"/>
      <c r="G209"/>
      <c r="H209"/>
      <c r="I209"/>
      <c r="J209"/>
      <c r="K209"/>
      <c r="M209"/>
    </row>
    <row r="210" spans="1:13">
      <c r="A210" t="s">
        <v>3559</v>
      </c>
      <c r="B210">
        <f>2^B208</f>
        <v>256</v>
      </c>
      <c r="C210"/>
      <c r="D210" t="s">
        <v>3560</v>
      </c>
      <c r="E210"/>
      <c r="F210"/>
      <c r="G210"/>
      <c r="H210"/>
      <c r="I210"/>
      <c r="J210"/>
      <c r="K210"/>
      <c r="M210"/>
    </row>
    <row r="211" spans="1:13">
      <c r="A211" t="s">
        <v>3561</v>
      </c>
      <c r="B211">
        <f>B207-B206</f>
        <v>9</v>
      </c>
      <c r="C211" t="s">
        <v>3553</v>
      </c>
      <c r="D211" t="s">
        <v>3562</v>
      </c>
      <c r="E211"/>
      <c r="F211"/>
      <c r="G211"/>
      <c r="H211"/>
      <c r="I211"/>
      <c r="J211"/>
      <c r="K211"/>
      <c r="M211"/>
    </row>
    <row r="212" spans="1:13">
      <c r="A212" t="s">
        <v>3563</v>
      </c>
      <c r="B212">
        <f>B211/B210</f>
        <v>3.515625E-2</v>
      </c>
      <c r="C212" t="s">
        <v>3553</v>
      </c>
      <c r="D212" t="s">
        <v>3564</v>
      </c>
      <c r="E212"/>
      <c r="F212"/>
      <c r="G212"/>
      <c r="H212" t="s">
        <v>3565</v>
      </c>
      <c r="I212"/>
      <c r="J212"/>
      <c r="K212"/>
      <c r="M212"/>
    </row>
    <row r="213" spans="1:13">
      <c r="A213" t="s">
        <v>3566</v>
      </c>
      <c r="B213">
        <f>ROUNDDOWN(B205/B212,0)</f>
        <v>102</v>
      </c>
      <c r="C213"/>
      <c r="D213" t="s">
        <v>3567</v>
      </c>
      <c r="E213"/>
      <c r="F213"/>
      <c r="G213"/>
      <c r="H213" s="315" t="s">
        <v>3568</v>
      </c>
      <c r="I213"/>
      <c r="J213"/>
      <c r="K213"/>
      <c r="M213"/>
    </row>
    <row r="214" spans="1:13">
      <c r="A214"/>
      <c r="B214"/>
      <c r="C214"/>
      <c r="D214"/>
      <c r="E214"/>
      <c r="F214"/>
      <c r="G214"/>
      <c r="H214"/>
      <c r="I214"/>
      <c r="J214"/>
      <c r="K214"/>
      <c r="M214"/>
    </row>
    <row r="215" spans="1:13">
      <c r="A215"/>
      <c r="B215"/>
      <c r="C215"/>
      <c r="D215"/>
      <c r="E215"/>
      <c r="F215"/>
      <c r="G215"/>
      <c r="H215"/>
      <c r="I215"/>
      <c r="J215"/>
      <c r="K215"/>
      <c r="M215"/>
    </row>
    <row r="216" spans="1:13">
      <c r="A216"/>
      <c r="B216"/>
      <c r="C216"/>
      <c r="D216"/>
      <c r="E216"/>
      <c r="F216"/>
      <c r="G216"/>
      <c r="H216"/>
      <c r="I216"/>
      <c r="J216"/>
      <c r="K216"/>
      <c r="M216"/>
    </row>
    <row r="217" spans="1:13">
      <c r="A217" s="298" t="s">
        <v>3590</v>
      </c>
      <c r="B217" s="896" t="s">
        <v>3570</v>
      </c>
      <c r="C217" s="896" t="s">
        <v>3571</v>
      </c>
      <c r="D217" s="896" t="s">
        <v>3572</v>
      </c>
      <c r="E217" s="896" t="s">
        <v>3573</v>
      </c>
      <c r="F217" s="896" t="s">
        <v>3574</v>
      </c>
      <c r="G217" s="896" t="s">
        <v>3575</v>
      </c>
      <c r="H217" s="896" t="s">
        <v>3576</v>
      </c>
      <c r="I217" s="896" t="s">
        <v>3577</v>
      </c>
      <c r="J217"/>
      <c r="K217"/>
      <c r="M217"/>
    </row>
    <row r="218" spans="1:13">
      <c r="A218" s="319" t="s">
        <v>3578</v>
      </c>
      <c r="B218" s="908">
        <f t="shared" ref="B218:H218" si="14">C220</f>
        <v>0</v>
      </c>
      <c r="C218" s="908">
        <f t="shared" si="14"/>
        <v>1</v>
      </c>
      <c r="D218" s="908">
        <f t="shared" si="14"/>
        <v>3</v>
      </c>
      <c r="E218" s="908">
        <f t="shared" si="14"/>
        <v>6</v>
      </c>
      <c r="F218" s="908">
        <f t="shared" si="14"/>
        <v>12</v>
      </c>
      <c r="G218" s="908">
        <f t="shared" si="14"/>
        <v>25</v>
      </c>
      <c r="H218" s="908">
        <f t="shared" si="14"/>
        <v>51</v>
      </c>
      <c r="I218" s="908">
        <f>B213</f>
        <v>102</v>
      </c>
      <c r="J218"/>
      <c r="K218"/>
      <c r="M218"/>
    </row>
    <row r="219" spans="1:13">
      <c r="A219" s="319" t="s">
        <v>3579</v>
      </c>
      <c r="B219" s="908">
        <f>B218/2</f>
        <v>0</v>
      </c>
      <c r="C219" s="908">
        <f t="shared" ref="C219:H219" si="15">D220/2</f>
        <v>0.5</v>
      </c>
      <c r="D219" s="908">
        <f t="shared" si="15"/>
        <v>1.5</v>
      </c>
      <c r="E219" s="908">
        <f t="shared" si="15"/>
        <v>3</v>
      </c>
      <c r="F219" s="908">
        <f t="shared" si="15"/>
        <v>6</v>
      </c>
      <c r="G219" s="908">
        <f t="shared" si="15"/>
        <v>12.5</v>
      </c>
      <c r="H219" s="908">
        <f t="shared" si="15"/>
        <v>25.5</v>
      </c>
      <c r="I219" s="908">
        <f>I218/2</f>
        <v>51</v>
      </c>
      <c r="J219"/>
      <c r="K219"/>
      <c r="M219"/>
    </row>
    <row r="220" spans="1:13">
      <c r="A220" s="319" t="s">
        <v>330</v>
      </c>
      <c r="B220" s="908">
        <f t="shared" ref="B220:I220" si="16">ROUNDDOWN(B219,0)</f>
        <v>0</v>
      </c>
      <c r="C220" s="908">
        <f t="shared" si="16"/>
        <v>0</v>
      </c>
      <c r="D220" s="908">
        <f t="shared" si="16"/>
        <v>1</v>
      </c>
      <c r="E220" s="908">
        <f t="shared" si="16"/>
        <v>3</v>
      </c>
      <c r="F220" s="908">
        <f t="shared" si="16"/>
        <v>6</v>
      </c>
      <c r="G220" s="908">
        <f t="shared" si="16"/>
        <v>12</v>
      </c>
      <c r="H220" s="908">
        <f t="shared" si="16"/>
        <v>25</v>
      </c>
      <c r="I220" s="908">
        <f t="shared" si="16"/>
        <v>51</v>
      </c>
      <c r="J220"/>
      <c r="K220"/>
      <c r="M220"/>
    </row>
    <row r="221" spans="1:13">
      <c r="A221" s="319" t="s">
        <v>3580</v>
      </c>
      <c r="B221" s="903">
        <f t="shared" ref="B221:I221" si="17">MOD(B218,2)</f>
        <v>0</v>
      </c>
      <c r="C221" s="903">
        <f t="shared" si="17"/>
        <v>1</v>
      </c>
      <c r="D221" s="903">
        <f t="shared" si="17"/>
        <v>1</v>
      </c>
      <c r="E221" s="903">
        <f t="shared" si="17"/>
        <v>0</v>
      </c>
      <c r="F221" s="903">
        <f t="shared" si="17"/>
        <v>0</v>
      </c>
      <c r="G221" s="903">
        <f t="shared" si="17"/>
        <v>1</v>
      </c>
      <c r="H221" s="903">
        <f t="shared" si="17"/>
        <v>1</v>
      </c>
      <c r="I221" s="903">
        <f t="shared" si="17"/>
        <v>0</v>
      </c>
      <c r="J221"/>
      <c r="K221"/>
      <c r="M221"/>
    </row>
    <row r="222" spans="1:13">
      <c r="A222" s="319" t="s">
        <v>3581</v>
      </c>
      <c r="B222" s="318">
        <f t="shared" ref="B222:I222" si="18">IF(MOD(B218,2)=0,0,1)</f>
        <v>0</v>
      </c>
      <c r="C222" s="318">
        <f t="shared" si="18"/>
        <v>1</v>
      </c>
      <c r="D222" s="318">
        <f t="shared" si="18"/>
        <v>1</v>
      </c>
      <c r="E222" s="318">
        <f t="shared" si="18"/>
        <v>0</v>
      </c>
      <c r="F222" s="318">
        <f t="shared" si="18"/>
        <v>0</v>
      </c>
      <c r="G222" s="318">
        <f t="shared" si="18"/>
        <v>1</v>
      </c>
      <c r="H222" s="318">
        <f t="shared" si="18"/>
        <v>1</v>
      </c>
      <c r="I222" s="318">
        <f t="shared" si="18"/>
        <v>0</v>
      </c>
      <c r="J222"/>
      <c r="K222"/>
      <c r="M222"/>
    </row>
    <row r="223" spans="1:13">
      <c r="A223" s="319" t="s">
        <v>3582</v>
      </c>
      <c r="B223" s="1228" t="s">
        <v>3419</v>
      </c>
      <c r="C223" s="1228" t="s">
        <v>3420</v>
      </c>
      <c r="D223" s="1228" t="s">
        <v>3421</v>
      </c>
      <c r="E223" s="1228" t="s">
        <v>3422</v>
      </c>
      <c r="F223" s="1228" t="s">
        <v>3423</v>
      </c>
      <c r="G223" s="1228" t="s">
        <v>3424</v>
      </c>
      <c r="H223" s="1228" t="s">
        <v>3425</v>
      </c>
      <c r="I223" s="1228" t="s">
        <v>3426</v>
      </c>
      <c r="J223"/>
      <c r="K223" s="1228" t="str">
        <f>D205</f>
        <v>Blau</v>
      </c>
      <c r="M223"/>
    </row>
    <row r="224" spans="1:13">
      <c r="A224" s="319" t="s">
        <v>3578</v>
      </c>
      <c r="B224" s="1229">
        <f>IF(B222=1,2^7,0)</f>
        <v>0</v>
      </c>
      <c r="C224" s="1229">
        <f>IF(C222=1,2^6,0)</f>
        <v>64</v>
      </c>
      <c r="D224" s="1229">
        <f>IF(D222=1,2^5,0)</f>
        <v>32</v>
      </c>
      <c r="E224" s="1229">
        <f>IF(E222=1,2^4,0)</f>
        <v>0</v>
      </c>
      <c r="F224" s="1229">
        <f>IF(F222=1,2^3,0)</f>
        <v>0</v>
      </c>
      <c r="G224" s="1229">
        <f>IF(G222=1,2^2,0)</f>
        <v>4</v>
      </c>
      <c r="H224" s="1229">
        <f>IF(H222=1,2^1,0)</f>
        <v>2</v>
      </c>
      <c r="I224" s="1229">
        <f>IF(I222=1,2^0,0)</f>
        <v>0</v>
      </c>
      <c r="J224"/>
      <c r="K224" s="903">
        <f>SUM(B224:I224)</f>
        <v>102</v>
      </c>
      <c r="M224"/>
    </row>
    <row r="225" spans="1:13">
      <c r="A225"/>
      <c r="B225"/>
      <c r="C225"/>
      <c r="D225"/>
      <c r="E225"/>
      <c r="F225"/>
      <c r="G225"/>
      <c r="H225"/>
      <c r="I225"/>
      <c r="J225"/>
      <c r="K225" s="896" t="s">
        <v>3583</v>
      </c>
      <c r="M225"/>
    </row>
    <row r="226" spans="1:13">
      <c r="A226" s="319" t="s">
        <v>3591</v>
      </c>
      <c r="B226" s="40"/>
      <c r="C226" s="40"/>
      <c r="D226" s="40"/>
      <c r="E226" s="40"/>
      <c r="F226" s="40"/>
      <c r="G226" s="40"/>
      <c r="H226" s="40"/>
      <c r="I226" s="40"/>
      <c r="J226"/>
      <c r="K226"/>
      <c r="M226"/>
    </row>
    <row r="227" spans="1:13">
      <c r="A227"/>
      <c r="B227"/>
      <c r="C227"/>
      <c r="D227"/>
      <c r="E227"/>
      <c r="F227"/>
      <c r="G227"/>
      <c r="H227"/>
      <c r="I227"/>
      <c r="J227"/>
      <c r="K227"/>
      <c r="L227"/>
      <c r="M227"/>
    </row>
    <row r="228" spans="1:13" ht="16.5" thickBot="1">
      <c r="A228" s="327"/>
      <c r="B228" s="327"/>
      <c r="C228" s="327"/>
      <c r="D228" s="327"/>
      <c r="E228" s="327"/>
      <c r="F228" s="327"/>
      <c r="G228" s="327"/>
      <c r="H228" s="327"/>
      <c r="I228" s="327"/>
      <c r="J228" s="327"/>
      <c r="K228" s="327"/>
      <c r="L228" s="327"/>
      <c r="M228"/>
    </row>
    <row r="229" spans="1:13">
      <c r="A229"/>
      <c r="B229"/>
      <c r="C229"/>
      <c r="D229"/>
      <c r="E229"/>
      <c r="F229"/>
      <c r="G229"/>
      <c r="H229"/>
      <c r="I229"/>
      <c r="J229"/>
      <c r="K229"/>
      <c r="L229"/>
      <c r="M229"/>
    </row>
    <row r="230" spans="1:13">
      <c r="A230" t="s">
        <v>3552</v>
      </c>
      <c r="B230" s="1230">
        <f>C202</f>
        <v>8.4124999999999996</v>
      </c>
      <c r="C230" t="s">
        <v>3553</v>
      </c>
      <c r="D230" s="773" t="s">
        <v>3588</v>
      </c>
      <c r="E230"/>
      <c r="F230"/>
      <c r="G230"/>
      <c r="H230"/>
      <c r="I230"/>
      <c r="J230"/>
      <c r="K230"/>
      <c r="M230"/>
    </row>
    <row r="231" spans="1:13">
      <c r="A231" t="s">
        <v>3555</v>
      </c>
      <c r="B231" s="216">
        <f>B153</f>
        <v>1</v>
      </c>
      <c r="C231" t="s">
        <v>3553</v>
      </c>
      <c r="D231"/>
      <c r="E231"/>
      <c r="F231"/>
      <c r="G231"/>
      <c r="H231"/>
      <c r="I231"/>
      <c r="J231"/>
      <c r="K231"/>
      <c r="M231"/>
    </row>
    <row r="232" spans="1:13">
      <c r="A232" t="s">
        <v>3556</v>
      </c>
      <c r="B232" s="216">
        <f>B154</f>
        <v>10</v>
      </c>
      <c r="C232" t="s">
        <v>3553</v>
      </c>
      <c r="D232"/>
      <c r="E232"/>
      <c r="F232"/>
      <c r="G232"/>
      <c r="H232"/>
      <c r="I232"/>
      <c r="J232"/>
      <c r="K232"/>
      <c r="M232"/>
    </row>
    <row r="233" spans="1:13">
      <c r="A233" t="s">
        <v>3557</v>
      </c>
      <c r="B233" s="1231">
        <f>B155</f>
        <v>8</v>
      </c>
      <c r="C233" t="s">
        <v>3558</v>
      </c>
      <c r="D233"/>
      <c r="E233"/>
      <c r="F233"/>
      <c r="G233"/>
      <c r="H233"/>
      <c r="I233"/>
      <c r="J233"/>
      <c r="K233"/>
      <c r="M233"/>
    </row>
    <row r="234" spans="1:13">
      <c r="A234"/>
      <c r="B234"/>
      <c r="C234"/>
      <c r="D234"/>
      <c r="E234"/>
      <c r="F234"/>
      <c r="G234"/>
      <c r="H234"/>
      <c r="I234"/>
      <c r="J234"/>
      <c r="K234"/>
      <c r="M234"/>
    </row>
    <row r="235" spans="1:13">
      <c r="A235" t="s">
        <v>3559</v>
      </c>
      <c r="B235">
        <f>2^B233</f>
        <v>256</v>
      </c>
      <c r="C235"/>
      <c r="D235" t="s">
        <v>3560</v>
      </c>
      <c r="E235"/>
      <c r="F235"/>
      <c r="G235"/>
      <c r="H235"/>
      <c r="I235"/>
      <c r="J235"/>
      <c r="K235"/>
      <c r="M235"/>
    </row>
    <row r="236" spans="1:13">
      <c r="A236" t="s">
        <v>3561</v>
      </c>
      <c r="B236">
        <f>B232-B231</f>
        <v>9</v>
      </c>
      <c r="C236" t="s">
        <v>3553</v>
      </c>
      <c r="D236" t="s">
        <v>3562</v>
      </c>
      <c r="E236"/>
      <c r="F236"/>
      <c r="G236"/>
      <c r="H236"/>
      <c r="I236"/>
      <c r="J236"/>
      <c r="K236"/>
      <c r="M236"/>
    </row>
    <row r="237" spans="1:13">
      <c r="A237" t="s">
        <v>3563</v>
      </c>
      <c r="B237">
        <f>B236/B235</f>
        <v>3.515625E-2</v>
      </c>
      <c r="C237" t="s">
        <v>3553</v>
      </c>
      <c r="D237" t="s">
        <v>3564</v>
      </c>
      <c r="E237"/>
      <c r="F237"/>
      <c r="G237"/>
      <c r="H237" t="s">
        <v>3565</v>
      </c>
      <c r="I237"/>
      <c r="J237"/>
      <c r="K237"/>
      <c r="M237"/>
    </row>
    <row r="238" spans="1:13">
      <c r="A238" t="s">
        <v>3566</v>
      </c>
      <c r="B238">
        <f>ROUNDDOWN(B230/B237,0)</f>
        <v>239</v>
      </c>
      <c r="C238"/>
      <c r="D238" t="s">
        <v>3567</v>
      </c>
      <c r="E238"/>
      <c r="F238"/>
      <c r="G238"/>
      <c r="H238" s="315" t="s">
        <v>3568</v>
      </c>
      <c r="I238"/>
      <c r="J238"/>
      <c r="K238"/>
      <c r="M238"/>
    </row>
    <row r="239" spans="1:13">
      <c r="A239"/>
      <c r="B239"/>
      <c r="C239"/>
      <c r="D239"/>
      <c r="E239"/>
      <c r="F239"/>
      <c r="G239"/>
      <c r="H239"/>
      <c r="I239"/>
      <c r="J239"/>
      <c r="K239"/>
      <c r="M239"/>
    </row>
    <row r="240" spans="1:13">
      <c r="A240"/>
      <c r="B240"/>
      <c r="C240"/>
      <c r="D240"/>
      <c r="E240"/>
      <c r="F240"/>
      <c r="G240"/>
      <c r="H240"/>
      <c r="I240"/>
      <c r="J240"/>
      <c r="K240"/>
      <c r="M240"/>
    </row>
    <row r="241" spans="1:13">
      <c r="A241"/>
      <c r="B241"/>
      <c r="C241"/>
      <c r="D241"/>
      <c r="E241"/>
      <c r="F241"/>
      <c r="G241"/>
      <c r="H241"/>
      <c r="I241"/>
      <c r="J241"/>
      <c r="K241"/>
      <c r="M241"/>
    </row>
    <row r="242" spans="1:13">
      <c r="A242" s="298" t="s">
        <v>3590</v>
      </c>
      <c r="B242" s="896" t="s">
        <v>3570</v>
      </c>
      <c r="C242" s="896" t="s">
        <v>3571</v>
      </c>
      <c r="D242" s="896" t="s">
        <v>3572</v>
      </c>
      <c r="E242" s="896" t="s">
        <v>3573</v>
      </c>
      <c r="F242" s="896" t="s">
        <v>3574</v>
      </c>
      <c r="G242" s="896" t="s">
        <v>3575</v>
      </c>
      <c r="H242" s="896" t="s">
        <v>3576</v>
      </c>
      <c r="I242" s="896" t="s">
        <v>3577</v>
      </c>
      <c r="J242"/>
      <c r="K242"/>
      <c r="M242"/>
    </row>
    <row r="243" spans="1:13">
      <c r="A243" s="319" t="s">
        <v>3578</v>
      </c>
      <c r="B243" s="908">
        <f t="shared" ref="B243:H243" si="19">C245</f>
        <v>1</v>
      </c>
      <c r="C243" s="908">
        <f t="shared" si="19"/>
        <v>3</v>
      </c>
      <c r="D243" s="908">
        <f t="shared" si="19"/>
        <v>7</v>
      </c>
      <c r="E243" s="908">
        <f t="shared" si="19"/>
        <v>14</v>
      </c>
      <c r="F243" s="908">
        <f t="shared" si="19"/>
        <v>29</v>
      </c>
      <c r="G243" s="908">
        <f t="shared" si="19"/>
        <v>59</v>
      </c>
      <c r="H243" s="908">
        <f t="shared" si="19"/>
        <v>119</v>
      </c>
      <c r="I243" s="908">
        <f>B238</f>
        <v>239</v>
      </c>
      <c r="J243"/>
      <c r="K243"/>
      <c r="M243"/>
    </row>
    <row r="244" spans="1:13">
      <c r="A244" s="319" t="s">
        <v>3579</v>
      </c>
      <c r="B244" s="908">
        <f>B243/2</f>
        <v>0.5</v>
      </c>
      <c r="C244" s="908">
        <f t="shared" ref="C244:H244" si="20">D245/2</f>
        <v>1.5</v>
      </c>
      <c r="D244" s="908">
        <f t="shared" si="20"/>
        <v>3.5</v>
      </c>
      <c r="E244" s="908">
        <f t="shared" si="20"/>
        <v>7</v>
      </c>
      <c r="F244" s="908">
        <f t="shared" si="20"/>
        <v>14.5</v>
      </c>
      <c r="G244" s="908">
        <f t="shared" si="20"/>
        <v>29.5</v>
      </c>
      <c r="H244" s="908">
        <f t="shared" si="20"/>
        <v>59.5</v>
      </c>
      <c r="I244" s="908">
        <f>I243/2</f>
        <v>119.5</v>
      </c>
      <c r="J244"/>
      <c r="K244"/>
      <c r="M244"/>
    </row>
    <row r="245" spans="1:13">
      <c r="A245" s="319" t="s">
        <v>330</v>
      </c>
      <c r="B245" s="908">
        <f t="shared" ref="B245:I245" si="21">ROUNDDOWN(B244,0)</f>
        <v>0</v>
      </c>
      <c r="C245" s="908">
        <f t="shared" si="21"/>
        <v>1</v>
      </c>
      <c r="D245" s="908">
        <f t="shared" si="21"/>
        <v>3</v>
      </c>
      <c r="E245" s="908">
        <f t="shared" si="21"/>
        <v>7</v>
      </c>
      <c r="F245" s="908">
        <f t="shared" si="21"/>
        <v>14</v>
      </c>
      <c r="G245" s="908">
        <f t="shared" si="21"/>
        <v>29</v>
      </c>
      <c r="H245" s="908">
        <f t="shared" si="21"/>
        <v>59</v>
      </c>
      <c r="I245" s="908">
        <f t="shared" si="21"/>
        <v>119</v>
      </c>
      <c r="J245"/>
      <c r="K245"/>
      <c r="M245"/>
    </row>
    <row r="246" spans="1:13">
      <c r="A246" s="319" t="s">
        <v>3580</v>
      </c>
      <c r="B246" s="903">
        <f t="shared" ref="B246:I246" si="22">MOD(B243,2)</f>
        <v>1</v>
      </c>
      <c r="C246" s="903">
        <f t="shared" si="22"/>
        <v>1</v>
      </c>
      <c r="D246" s="903">
        <f t="shared" si="22"/>
        <v>1</v>
      </c>
      <c r="E246" s="903">
        <f t="shared" si="22"/>
        <v>0</v>
      </c>
      <c r="F246" s="903">
        <f t="shared" si="22"/>
        <v>1</v>
      </c>
      <c r="G246" s="903">
        <f t="shared" si="22"/>
        <v>1</v>
      </c>
      <c r="H246" s="903">
        <f t="shared" si="22"/>
        <v>1</v>
      </c>
      <c r="I246" s="903">
        <f t="shared" si="22"/>
        <v>1</v>
      </c>
      <c r="J246"/>
      <c r="K246"/>
      <c r="M246"/>
    </row>
    <row r="247" spans="1:13">
      <c r="A247" s="319" t="s">
        <v>3581</v>
      </c>
      <c r="B247" s="318">
        <f t="shared" ref="B247:I247" si="23">IF(MOD(B243,2)=0,0,1)</f>
        <v>1</v>
      </c>
      <c r="C247" s="318">
        <f t="shared" si="23"/>
        <v>1</v>
      </c>
      <c r="D247" s="318">
        <f t="shared" si="23"/>
        <v>1</v>
      </c>
      <c r="E247" s="318">
        <f t="shared" si="23"/>
        <v>0</v>
      </c>
      <c r="F247" s="318">
        <f t="shared" si="23"/>
        <v>1</v>
      </c>
      <c r="G247" s="318">
        <f t="shared" si="23"/>
        <v>1</v>
      </c>
      <c r="H247" s="318">
        <f t="shared" si="23"/>
        <v>1</v>
      </c>
      <c r="I247" s="318">
        <f t="shared" si="23"/>
        <v>1</v>
      </c>
      <c r="J247"/>
      <c r="K247"/>
      <c r="M247"/>
    </row>
    <row r="248" spans="1:13">
      <c r="A248" s="319" t="s">
        <v>3582</v>
      </c>
      <c r="B248" s="1228" t="s">
        <v>3419</v>
      </c>
      <c r="C248" s="1228" t="s">
        <v>3420</v>
      </c>
      <c r="D248" s="1228" t="s">
        <v>3421</v>
      </c>
      <c r="E248" s="1228" t="s">
        <v>3422</v>
      </c>
      <c r="F248" s="1228" t="s">
        <v>3423</v>
      </c>
      <c r="G248" s="1228" t="s">
        <v>3424</v>
      </c>
      <c r="H248" s="1228" t="s">
        <v>3425</v>
      </c>
      <c r="I248" s="1228" t="s">
        <v>3426</v>
      </c>
      <c r="J248"/>
      <c r="K248" s="318" t="str">
        <f>D230</f>
        <v>Rot</v>
      </c>
      <c r="M248"/>
    </row>
    <row r="249" spans="1:13">
      <c r="A249" s="319" t="s">
        <v>3578</v>
      </c>
      <c r="B249" s="1229">
        <f>IF(B247=1,2^7,0)</f>
        <v>128</v>
      </c>
      <c r="C249" s="1229">
        <f>IF(C247=1,2^6,0)</f>
        <v>64</v>
      </c>
      <c r="D249" s="1229">
        <f>IF(D247=1,2^5,0)</f>
        <v>32</v>
      </c>
      <c r="E249" s="1229">
        <f>IF(E247=1,2^4,0)</f>
        <v>0</v>
      </c>
      <c r="F249" s="1229">
        <f>IF(F247=1,2^3,0)</f>
        <v>8</v>
      </c>
      <c r="G249" s="1229">
        <f>IF(G247=1,2^2,0)</f>
        <v>4</v>
      </c>
      <c r="H249" s="1229">
        <f>IF(H247=1,2^1,0)</f>
        <v>2</v>
      </c>
      <c r="I249" s="1229">
        <f>IF(I247=1,2^0,0)</f>
        <v>1</v>
      </c>
      <c r="J249"/>
      <c r="K249" s="903">
        <f>SUM(B249:I249)</f>
        <v>239</v>
      </c>
      <c r="M249"/>
    </row>
    <row r="250" spans="1:13">
      <c r="A250"/>
      <c r="B250"/>
      <c r="C250"/>
      <c r="D250"/>
      <c r="E250"/>
      <c r="F250"/>
      <c r="G250"/>
      <c r="H250"/>
      <c r="I250"/>
      <c r="J250"/>
      <c r="K250" s="896" t="s">
        <v>3583</v>
      </c>
      <c r="M250"/>
    </row>
    <row r="251" spans="1:13">
      <c r="A251" s="319" t="s">
        <v>3592</v>
      </c>
      <c r="B251" s="40"/>
      <c r="C251" s="40"/>
      <c r="D251" s="40"/>
      <c r="E251" s="40"/>
      <c r="F251" s="40"/>
      <c r="G251" s="40"/>
      <c r="H251" s="40"/>
      <c r="I251" s="40"/>
      <c r="J251"/>
      <c r="K251"/>
      <c r="M251"/>
    </row>
    <row r="252" spans="1:13">
      <c r="A252"/>
      <c r="B252"/>
      <c r="C252"/>
      <c r="D252"/>
      <c r="E252"/>
      <c r="F252"/>
      <c r="G252"/>
      <c r="H252"/>
      <c r="I252"/>
      <c r="J252"/>
      <c r="K252"/>
      <c r="M252"/>
    </row>
    <row r="253" spans="1:13" ht="16.5" thickBot="1">
      <c r="A253" s="327"/>
      <c r="B253" s="327"/>
      <c r="C253" s="327"/>
      <c r="D253" s="327"/>
      <c r="E253" s="327"/>
      <c r="F253" s="327"/>
      <c r="G253" s="327"/>
      <c r="H253" s="327"/>
      <c r="I253" s="327"/>
      <c r="J253" s="327"/>
      <c r="K253" s="327"/>
      <c r="M253"/>
    </row>
    <row r="254" spans="1:13">
      <c r="A254"/>
      <c r="B254"/>
      <c r="C254"/>
      <c r="D254"/>
      <c r="E254"/>
      <c r="F254"/>
      <c r="G254"/>
      <c r="H254"/>
      <c r="I254"/>
      <c r="J254"/>
      <c r="K254"/>
      <c r="M254"/>
    </row>
    <row r="255" spans="1:13">
      <c r="A255" s="315" t="s">
        <v>3593</v>
      </c>
      <c r="B255"/>
      <c r="C255" s="896" t="s">
        <v>3588</v>
      </c>
      <c r="D255" s="318">
        <f>IF(K170="Rot",K171,IF(K223="Rot",K224,K249))</f>
        <v>239</v>
      </c>
      <c r="E255"/>
      <c r="F255"/>
      <c r="G255"/>
      <c r="H255"/>
      <c r="I255"/>
      <c r="J255"/>
      <c r="K255"/>
      <c r="M255"/>
    </row>
    <row r="256" spans="1:13">
      <c r="A256"/>
      <c r="B256"/>
      <c r="C256" s="896" t="s">
        <v>3554</v>
      </c>
      <c r="D256" s="318">
        <f>IF(K170="Grün",K171,IF(K223="Grün",K224,K249))</f>
        <v>182</v>
      </c>
      <c r="E256"/>
      <c r="F256"/>
      <c r="G256"/>
      <c r="H256"/>
      <c r="I256"/>
      <c r="J256"/>
      <c r="K256"/>
      <c r="M256"/>
    </row>
    <row r="257" spans="1:13">
      <c r="A257"/>
      <c r="B257"/>
      <c r="C257" s="896" t="s">
        <v>3587</v>
      </c>
      <c r="D257" s="318">
        <f>IF(K170="Blau",K171,IF(K223="Blau",K224,K249))</f>
        <v>102</v>
      </c>
      <c r="E257"/>
      <c r="F257"/>
      <c r="G257"/>
      <c r="H257"/>
      <c r="I257"/>
      <c r="J257"/>
      <c r="K257"/>
      <c r="M257"/>
    </row>
    <row r="258" spans="1:13" ht="16.5" thickBot="1">
      <c r="A258" s="327"/>
      <c r="B258" s="327"/>
      <c r="C258" s="327"/>
      <c r="D258" s="327"/>
      <c r="E258" s="327"/>
      <c r="F258" s="327"/>
      <c r="G258" s="327"/>
      <c r="H258" s="327"/>
      <c r="I258" s="327"/>
      <c r="J258" s="327"/>
      <c r="K258" s="327"/>
      <c r="L258"/>
      <c r="M258"/>
    </row>
    <row r="265" spans="1:13">
      <c r="A265" s="359" t="s">
        <v>4730</v>
      </c>
    </row>
    <row r="287" spans="2:9">
      <c r="B287" s="359" t="s">
        <v>4731</v>
      </c>
    </row>
    <row r="288" spans="2:9">
      <c r="B288"/>
      <c r="C288"/>
      <c r="D288"/>
      <c r="E288"/>
      <c r="F288"/>
      <c r="G288"/>
      <c r="H288"/>
      <c r="I288"/>
    </row>
    <row r="289" spans="2:9">
      <c r="B289" s="318">
        <v>66</v>
      </c>
      <c r="C289" s="318">
        <v>101</v>
      </c>
      <c r="D289" s="318">
        <v>119</v>
      </c>
      <c r="E289" s="318">
        <v>105</v>
      </c>
      <c r="F289" s="318">
        <v>114</v>
      </c>
      <c r="G289" s="318">
        <v>98</v>
      </c>
      <c r="H289" s="318">
        <v>32</v>
      </c>
      <c r="I289" s="318">
        <v>100</v>
      </c>
    </row>
    <row r="290" spans="2:9">
      <c r="B290" s="1673" t="s">
        <v>3463</v>
      </c>
      <c r="C290" s="1673" t="s">
        <v>3513</v>
      </c>
      <c r="D290" s="1673" t="s">
        <v>3544</v>
      </c>
      <c r="E290" s="1673" t="s">
        <v>3519</v>
      </c>
      <c r="F290" s="1673" t="s">
        <v>3535</v>
      </c>
      <c r="G290" s="1673" t="s">
        <v>248</v>
      </c>
      <c r="H290" s="1673"/>
      <c r="I290" s="1673" t="s">
        <v>3511</v>
      </c>
    </row>
    <row r="291" spans="2:9">
      <c r="B291" s="318">
        <v>105</v>
      </c>
      <c r="C291" s="318">
        <v>99</v>
      </c>
      <c r="D291" s="318">
        <v>104</v>
      </c>
      <c r="E291" s="318">
        <v>32</v>
      </c>
      <c r="F291" s="318">
        <v>97</v>
      </c>
      <c r="G291" s="318">
        <v>108</v>
      </c>
      <c r="H291" s="318">
        <v>115</v>
      </c>
      <c r="I291" s="318">
        <v>32</v>
      </c>
    </row>
    <row r="292" spans="2:9">
      <c r="B292" s="1673" t="s">
        <v>3519</v>
      </c>
      <c r="C292" s="1673" t="s">
        <v>246</v>
      </c>
      <c r="D292" s="1673" t="s">
        <v>3517</v>
      </c>
      <c r="E292" s="1673"/>
      <c r="F292" s="1673" t="s">
        <v>251</v>
      </c>
      <c r="G292" s="1673" t="s">
        <v>3524</v>
      </c>
      <c r="H292" s="1673" t="s">
        <v>1435</v>
      </c>
      <c r="I292" s="1673"/>
    </row>
    <row r="293" spans="2:9">
      <c r="B293" s="318">
        <v>73</v>
      </c>
      <c r="C293" s="318">
        <v>84</v>
      </c>
      <c r="D293" s="318">
        <v>45</v>
      </c>
      <c r="E293" s="318">
        <v>80</v>
      </c>
      <c r="F293" s="318">
        <v>114</v>
      </c>
      <c r="G293" s="318">
        <v>111</v>
      </c>
      <c r="H293" s="318">
        <v>102</v>
      </c>
      <c r="I293" s="318">
        <v>105</v>
      </c>
    </row>
    <row r="294" spans="2:9">
      <c r="B294" s="1673" t="s">
        <v>3475</v>
      </c>
      <c r="C294" s="1673" t="s">
        <v>3496</v>
      </c>
      <c r="D294" s="1673" t="s">
        <v>3949</v>
      </c>
      <c r="E294" s="1673" t="s">
        <v>3488</v>
      </c>
      <c r="F294" s="1673" t="s">
        <v>3535</v>
      </c>
      <c r="G294" s="1673" t="s">
        <v>3529</v>
      </c>
      <c r="H294" s="1673" t="s">
        <v>2494</v>
      </c>
      <c r="I294" s="1673" t="s">
        <v>3519</v>
      </c>
    </row>
    <row r="295" spans="2:9">
      <c r="B295" s="318">
        <v>32</v>
      </c>
      <c r="C295" s="318">
        <v>98</v>
      </c>
      <c r="D295" s="318">
        <v>101</v>
      </c>
      <c r="E295" s="318">
        <v>105</v>
      </c>
      <c r="F295" s="318">
        <v>32</v>
      </c>
      <c r="G295" s="318">
        <v>100</v>
      </c>
      <c r="H295" s="318">
        <v>101</v>
      </c>
      <c r="I295" s="318">
        <v>110</v>
      </c>
    </row>
    <row r="296" spans="2:9">
      <c r="B296" s="1673"/>
      <c r="C296" s="1673" t="s">
        <v>248</v>
      </c>
      <c r="D296" s="1673" t="s">
        <v>3513</v>
      </c>
      <c r="E296" s="1673" t="s">
        <v>3519</v>
      </c>
      <c r="F296" s="1673"/>
      <c r="G296" s="1673" t="s">
        <v>3511</v>
      </c>
      <c r="H296" s="1673" t="s">
        <v>3513</v>
      </c>
      <c r="I296" s="1673" t="s">
        <v>3527</v>
      </c>
    </row>
    <row r="297" spans="2:9">
      <c r="B297" s="318">
        <v>32</v>
      </c>
      <c r="C297" s="318">
        <v>66</v>
      </c>
      <c r="D297" s="318">
        <v>101</v>
      </c>
      <c r="E297" s="318">
        <v>114</v>
      </c>
      <c r="F297" s="318">
        <v>108</v>
      </c>
      <c r="G297" s="318">
        <v>105</v>
      </c>
      <c r="H297" s="318">
        <v>110</v>
      </c>
      <c r="I297" s="318">
        <v>101</v>
      </c>
    </row>
    <row r="298" spans="2:9">
      <c r="B298" s="1673"/>
      <c r="C298" s="1673" t="s">
        <v>3463</v>
      </c>
      <c r="D298" s="1673" t="s">
        <v>3513</v>
      </c>
      <c r="E298" s="1673" t="s">
        <v>3535</v>
      </c>
      <c r="F298" s="1673" t="s">
        <v>3524</v>
      </c>
      <c r="G298" s="1673" t="s">
        <v>3519</v>
      </c>
      <c r="H298" s="1673" t="s">
        <v>3527</v>
      </c>
      <c r="I298" s="1673" t="s">
        <v>3513</v>
      </c>
    </row>
    <row r="299" spans="2:9">
      <c r="B299" s="318">
        <v>114</v>
      </c>
      <c r="C299" s="318">
        <v>32</v>
      </c>
      <c r="D299" s="318">
        <v>87</v>
      </c>
      <c r="E299" s="318">
        <v>97</v>
      </c>
      <c r="F299" s="318">
        <v>115</v>
      </c>
      <c r="G299" s="318">
        <v>115</v>
      </c>
      <c r="H299" s="318">
        <v>101</v>
      </c>
      <c r="I299" s="318">
        <v>114</v>
      </c>
    </row>
    <row r="300" spans="2:9">
      <c r="B300" s="1673" t="s">
        <v>3535</v>
      </c>
      <c r="C300" s="1673"/>
      <c r="D300" s="1673" t="s">
        <v>3501</v>
      </c>
      <c r="E300" s="1673" t="s">
        <v>251</v>
      </c>
      <c r="F300" s="1673" t="s">
        <v>1435</v>
      </c>
      <c r="G300" s="1673" t="s">
        <v>1435</v>
      </c>
      <c r="H300" s="1673" t="s">
        <v>3513</v>
      </c>
      <c r="I300" s="1673" t="s">
        <v>3535</v>
      </c>
    </row>
    <row r="301" spans="2:9">
      <c r="B301" s="318">
        <v>98</v>
      </c>
      <c r="C301" s="318">
        <v>101</v>
      </c>
      <c r="D301" s="318">
        <v>116</v>
      </c>
      <c r="E301" s="318">
        <v>114</v>
      </c>
      <c r="F301" s="318">
        <v>105</v>
      </c>
      <c r="G301" s="318">
        <v>101</v>
      </c>
      <c r="H301" s="318">
        <v>98</v>
      </c>
      <c r="I301" s="318">
        <v>101</v>
      </c>
    </row>
    <row r="302" spans="2:9">
      <c r="B302" s="1673" t="s">
        <v>248</v>
      </c>
      <c r="C302" s="1673" t="s">
        <v>3513</v>
      </c>
      <c r="D302" s="1673" t="s">
        <v>3538</v>
      </c>
      <c r="E302" s="1673" t="s">
        <v>3535</v>
      </c>
      <c r="F302" s="1673" t="s">
        <v>3519</v>
      </c>
      <c r="G302" s="1673" t="s">
        <v>3513</v>
      </c>
      <c r="H302" s="1673" t="s">
        <v>248</v>
      </c>
      <c r="I302" s="1673" t="s">
        <v>3513</v>
      </c>
    </row>
    <row r="303" spans="2:9">
      <c r="B303" s="318">
        <v>110</v>
      </c>
      <c r="C303" s="318">
        <v>58</v>
      </c>
      <c r="D303" s="318">
        <v>32</v>
      </c>
      <c r="E303" s="318">
        <v>104</v>
      </c>
      <c r="F303" s="318">
        <v>116</v>
      </c>
      <c r="G303" s="318">
        <v>116</v>
      </c>
      <c r="H303" s="318">
        <v>112</v>
      </c>
      <c r="I303" s="318">
        <v>115</v>
      </c>
    </row>
    <row r="304" spans="2:9">
      <c r="B304" s="1673" t="s">
        <v>3527</v>
      </c>
      <c r="C304" s="1673"/>
      <c r="D304" s="1673"/>
      <c r="E304" s="1673" t="s">
        <v>3517</v>
      </c>
      <c r="F304" s="1673" t="s">
        <v>3538</v>
      </c>
      <c r="G304" s="1673" t="s">
        <v>3538</v>
      </c>
      <c r="H304" s="1673" t="s">
        <v>3531</v>
      </c>
      <c r="I304" s="1673" t="s">
        <v>1435</v>
      </c>
    </row>
    <row r="305" spans="2:9">
      <c r="B305" s="318">
        <v>58</v>
      </c>
      <c r="C305" s="318">
        <v>47</v>
      </c>
      <c r="D305" s="318">
        <v>47</v>
      </c>
      <c r="E305" s="318">
        <v>98</v>
      </c>
      <c r="F305" s="318">
        <v>105</v>
      </c>
      <c r="G305" s="318">
        <v>116</v>
      </c>
      <c r="H305" s="318">
        <v>46</v>
      </c>
      <c r="I305" s="318">
        <v>108</v>
      </c>
    </row>
    <row r="306" spans="2:9">
      <c r="B306" s="1673" t="s">
        <v>4728</v>
      </c>
      <c r="C306" s="1673" t="s">
        <v>4725</v>
      </c>
      <c r="D306" s="1673" t="s">
        <v>4725</v>
      </c>
      <c r="E306" s="1673" t="s">
        <v>248</v>
      </c>
      <c r="F306" s="1673" t="s">
        <v>3519</v>
      </c>
      <c r="G306" s="1673" t="s">
        <v>3538</v>
      </c>
      <c r="H306" s="1673" t="s">
        <v>3445</v>
      </c>
      <c r="I306" s="1673" t="s">
        <v>3524</v>
      </c>
    </row>
    <row r="307" spans="2:9">
      <c r="B307" s="318">
        <v>121</v>
      </c>
      <c r="C307" s="318">
        <v>47</v>
      </c>
      <c r="D307" s="318">
        <v>50</v>
      </c>
      <c r="E307" s="318">
        <v>81</v>
      </c>
      <c r="F307" s="318">
        <v>114</v>
      </c>
      <c r="G307" s="318">
        <v>66</v>
      </c>
      <c r="H307" s="318">
        <v>71</v>
      </c>
      <c r="I307" s="318">
        <v>113</v>
      </c>
    </row>
    <row r="308" spans="2:9">
      <c r="B308" s="1673" t="s">
        <v>2493</v>
      </c>
      <c r="C308" s="1673" t="s">
        <v>4725</v>
      </c>
      <c r="D308" s="1673">
        <v>2</v>
      </c>
      <c r="E308" s="1673" t="s">
        <v>3490</v>
      </c>
      <c r="F308" s="1673" t="s">
        <v>3535</v>
      </c>
      <c r="G308" s="1673" t="s">
        <v>3463</v>
      </c>
      <c r="H308" s="1673" t="s">
        <v>1864</v>
      </c>
      <c r="I308" s="1673" t="s">
        <v>3533</v>
      </c>
    </row>
    <row r="309" spans="2:9">
      <c r="B309" s="318">
        <v>55</v>
      </c>
      <c r="C309" s="318"/>
      <c r="D309" s="318"/>
      <c r="E309" s="318"/>
      <c r="F309" s="318"/>
      <c r="G309" s="318"/>
      <c r="H309" s="318"/>
      <c r="I309" s="318"/>
    </row>
    <row r="310" spans="2:9">
      <c r="B310" s="1673">
        <v>7</v>
      </c>
      <c r="C310" s="1673"/>
      <c r="D310" s="1673"/>
      <c r="E310" s="1673"/>
      <c r="F310" s="1673"/>
      <c r="G310" s="1673"/>
      <c r="H310" s="1673"/>
      <c r="I310" s="1673"/>
    </row>
  </sheetData>
  <conditionalFormatting sqref="B48:I48">
    <cfRule type="cellIs" dxfId="24" priority="24" stopIfTrue="1" operator="equal">
      <formula>1</formula>
    </cfRule>
    <cfRule type="cellIs" dxfId="23" priority="25" stopIfTrue="1" operator="notEqual">
      <formula>1</formula>
    </cfRule>
  </conditionalFormatting>
  <conditionalFormatting sqref="C130">
    <cfRule type="expression" dxfId="22" priority="22" stopIfTrue="1">
      <formula>C128&lt;&gt;1</formula>
    </cfRule>
    <cfRule type="expression" dxfId="21" priority="23" stopIfTrue="1">
      <formula>C128=1</formula>
    </cfRule>
  </conditionalFormatting>
  <conditionalFormatting sqref="D130:I130">
    <cfRule type="expression" dxfId="20" priority="20" stopIfTrue="1">
      <formula>D128&lt;&gt;1</formula>
    </cfRule>
    <cfRule type="expression" dxfId="19" priority="21" stopIfTrue="1">
      <formula>D128=1</formula>
    </cfRule>
  </conditionalFormatting>
  <conditionalFormatting sqref="B130">
    <cfRule type="expression" dxfId="18" priority="18" stopIfTrue="1">
      <formula>B128&lt;&gt;1</formula>
    </cfRule>
    <cfRule type="expression" dxfId="17" priority="19" stopIfTrue="1">
      <formula>B128=1</formula>
    </cfRule>
  </conditionalFormatting>
  <conditionalFormatting sqref="B72:I72">
    <cfRule type="cellIs" dxfId="16" priority="16" operator="equal">
      <formula>0</formula>
    </cfRule>
    <cfRule type="cellIs" dxfId="15" priority="17" operator="equal">
      <formula>1</formula>
    </cfRule>
  </conditionalFormatting>
  <conditionalFormatting sqref="B78:I78">
    <cfRule type="cellIs" dxfId="14" priority="15" operator="notEqual">
      <formula>0</formula>
    </cfRule>
  </conditionalFormatting>
  <conditionalFormatting sqref="B83:I83">
    <cfRule type="cellIs" dxfId="13" priority="14" operator="notEqual">
      <formula>0</formula>
    </cfRule>
  </conditionalFormatting>
  <conditionalFormatting sqref="B88:I88">
    <cfRule type="cellIs" dxfId="12" priority="13" operator="notEqual">
      <formula>0</formula>
    </cfRule>
  </conditionalFormatting>
  <conditionalFormatting sqref="B93:I93">
    <cfRule type="cellIs" dxfId="11" priority="12" operator="notEqual">
      <formula>0</formula>
    </cfRule>
  </conditionalFormatting>
  <conditionalFormatting sqref="B98:I98">
    <cfRule type="cellIs" dxfId="10" priority="11" operator="notEqual">
      <formula>0</formula>
    </cfRule>
  </conditionalFormatting>
  <conditionalFormatting sqref="B103:I103">
    <cfRule type="cellIs" dxfId="9" priority="10" operator="notEqual">
      <formula>0</formula>
    </cfRule>
  </conditionalFormatting>
  <conditionalFormatting sqref="B108:I108">
    <cfRule type="cellIs" dxfId="8" priority="9" operator="notEqual">
      <formula>0</formula>
    </cfRule>
  </conditionalFormatting>
  <conditionalFormatting sqref="B113:I113">
    <cfRule type="cellIs" dxfId="7" priority="8" operator="notEqual">
      <formula>0</formula>
    </cfRule>
  </conditionalFormatting>
  <conditionalFormatting sqref="I173">
    <cfRule type="expression" dxfId="6" priority="7">
      <formula>I169=1</formula>
    </cfRule>
  </conditionalFormatting>
  <conditionalFormatting sqref="J182:J189">
    <cfRule type="expression" dxfId="5" priority="6">
      <formula>$G182=1</formula>
    </cfRule>
  </conditionalFormatting>
  <conditionalFormatting sqref="B173:H173">
    <cfRule type="expression" dxfId="4" priority="5">
      <formula>B169=1</formula>
    </cfRule>
  </conditionalFormatting>
  <conditionalFormatting sqref="I226">
    <cfRule type="expression" dxfId="3" priority="4">
      <formula>I222=1</formula>
    </cfRule>
  </conditionalFormatting>
  <conditionalFormatting sqref="B226:H226">
    <cfRule type="expression" dxfId="2" priority="3">
      <formula>B222=1</formula>
    </cfRule>
  </conditionalFormatting>
  <conditionalFormatting sqref="I251">
    <cfRule type="expression" dxfId="1" priority="2">
      <formula>I247=1</formula>
    </cfRule>
  </conditionalFormatting>
  <conditionalFormatting sqref="B251:H251">
    <cfRule type="expression" dxfId="0" priority="1">
      <formula>B247=1</formula>
    </cfRule>
  </conditionalFormatting>
  <pageMargins left="0.78740157499999996" right="0.78740157499999996" top="0.984251969" bottom="0.984251969" header="0.4921259845" footer="0.4921259845"/>
  <pageSetup paperSize="9" orientation="landscape" horizontalDpi="300" verticalDpi="1200" r:id="rId1"/>
  <headerFooter alignWithMargins="0">
    <oddHeader>&amp;A</oddHeader>
    <oddFooter>Seite &amp;P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3"/>
  <dimension ref="A1:AM397"/>
  <sheetViews>
    <sheetView workbookViewId="0">
      <selection activeCell="L17" sqref="L17"/>
    </sheetView>
  </sheetViews>
  <sheetFormatPr baseColWidth="10" defaultColWidth="11.42578125" defaultRowHeight="12.75"/>
  <cols>
    <col min="1" max="1" width="39.85546875" style="1253" customWidth="1"/>
    <col min="2" max="2" width="26.140625" style="1248" customWidth="1"/>
    <col min="3" max="3" width="25.140625" style="1252" customWidth="1"/>
    <col min="4" max="4" width="18.28515625" style="1249" customWidth="1"/>
    <col min="5" max="5" width="15.85546875" style="1250" customWidth="1"/>
    <col min="6" max="6" width="13.85546875" style="1250" customWidth="1"/>
    <col min="7" max="7" width="13.5703125" style="1250" customWidth="1"/>
    <col min="8" max="8" width="15.140625" style="1250" customWidth="1"/>
    <col min="9" max="12" width="10.7109375" style="1250" customWidth="1"/>
    <col min="13" max="14" width="11.42578125" style="1250"/>
    <col min="15" max="23" width="11.42578125" style="1284"/>
    <col min="24" max="38" width="10.140625" style="1250" customWidth="1"/>
    <col min="39" max="16384" width="11.42578125" style="1251"/>
  </cols>
  <sheetData>
    <row r="1" spans="1:14">
      <c r="A1" s="1282"/>
      <c r="B1" s="1276"/>
      <c r="C1" s="1277"/>
      <c r="D1" s="1275"/>
      <c r="E1" s="1284"/>
      <c r="F1" s="1284"/>
      <c r="G1" s="1284"/>
      <c r="H1" s="1284"/>
      <c r="I1" s="1284"/>
      <c r="J1" s="1284"/>
      <c r="K1" s="1284"/>
      <c r="L1" s="1284"/>
      <c r="M1" s="1284"/>
      <c r="N1" s="1284"/>
    </row>
    <row r="2" spans="1:14">
      <c r="A2" s="1282"/>
      <c r="B2" s="1276"/>
      <c r="C2" s="1277"/>
      <c r="D2" s="1275"/>
      <c r="E2" s="1284"/>
      <c r="F2" s="1284"/>
      <c r="G2" s="1284"/>
      <c r="H2" s="1284"/>
      <c r="I2" s="1284"/>
      <c r="J2" s="1284"/>
      <c r="K2" s="1284"/>
      <c r="L2" s="1284"/>
      <c r="M2" s="1284"/>
      <c r="N2" s="1284"/>
    </row>
    <row r="3" spans="1:14">
      <c r="A3" s="1282"/>
      <c r="B3" s="1276"/>
      <c r="C3" s="1277"/>
      <c r="D3" s="1275"/>
      <c r="E3" s="1284"/>
      <c r="F3" s="1284"/>
      <c r="G3" s="1284"/>
      <c r="H3" s="1284"/>
      <c r="I3" s="1284"/>
      <c r="J3" s="1284"/>
      <c r="K3" s="1284"/>
      <c r="L3" s="1284"/>
      <c r="M3" s="1284"/>
      <c r="N3" s="1284"/>
    </row>
    <row r="4" spans="1:14">
      <c r="A4" s="1282"/>
      <c r="B4" s="1276"/>
      <c r="C4" s="1277"/>
      <c r="D4" s="1275"/>
      <c r="E4" s="1284"/>
      <c r="F4" s="1284"/>
      <c r="G4" s="1284"/>
      <c r="H4" s="1284"/>
      <c r="I4" s="1284"/>
      <c r="J4" s="1284"/>
      <c r="K4" s="1284"/>
      <c r="L4" s="1284"/>
      <c r="M4" s="1284"/>
      <c r="N4" s="1284"/>
    </row>
    <row r="5" spans="1:14">
      <c r="A5" s="1282"/>
      <c r="B5" s="1276"/>
      <c r="C5" s="1277"/>
      <c r="D5" s="1275"/>
      <c r="E5" s="1284"/>
      <c r="F5" s="1284"/>
      <c r="G5" s="1284"/>
      <c r="H5" s="1284"/>
      <c r="I5" s="1284"/>
      <c r="J5" s="1284"/>
      <c r="K5" s="1284"/>
      <c r="L5" s="1284"/>
      <c r="M5" s="1284"/>
      <c r="N5" s="1284"/>
    </row>
    <row r="6" spans="1:14">
      <c r="A6" s="1282"/>
      <c r="B6" s="1276" t="s">
        <v>3671</v>
      </c>
      <c r="C6" s="1277"/>
      <c r="D6" s="1275"/>
      <c r="E6" s="1284"/>
      <c r="F6" s="1284"/>
      <c r="G6" s="1284"/>
      <c r="H6" s="1284"/>
      <c r="I6" s="1284"/>
      <c r="J6" s="1284"/>
      <c r="K6" s="1284"/>
      <c r="L6" s="1284"/>
      <c r="M6" s="1284"/>
      <c r="N6" s="1284"/>
    </row>
    <row r="7" spans="1:14">
      <c r="A7" s="1282"/>
      <c r="B7" s="1276"/>
      <c r="C7" s="1277"/>
      <c r="D7" s="1275"/>
      <c r="E7" s="1284"/>
      <c r="F7" s="1284"/>
      <c r="G7" s="1284"/>
      <c r="H7" s="1284"/>
      <c r="I7" s="1284"/>
      <c r="J7" s="1284"/>
      <c r="K7" s="1284"/>
      <c r="L7" s="1284"/>
      <c r="M7" s="1284"/>
      <c r="N7" s="1284"/>
    </row>
    <row r="8" spans="1:14">
      <c r="A8" s="1282"/>
      <c r="B8" s="1276"/>
      <c r="C8" s="1277"/>
      <c r="D8" s="1275"/>
      <c r="E8" s="1284"/>
      <c r="F8" s="1284"/>
      <c r="G8" s="1284"/>
      <c r="H8" s="1284"/>
      <c r="I8" s="1284"/>
      <c r="J8" s="1284"/>
      <c r="K8" s="1284"/>
      <c r="L8" s="1284"/>
      <c r="M8" s="1284"/>
      <c r="N8" s="1284"/>
    </row>
    <row r="9" spans="1:14">
      <c r="A9" s="1282"/>
      <c r="B9" s="65" t="s">
        <v>3642</v>
      </c>
      <c r="C9" s="24"/>
      <c r="D9" s="1275"/>
      <c r="E9" s="1284"/>
      <c r="F9" s="65" t="s">
        <v>3640</v>
      </c>
      <c r="G9" s="24"/>
      <c r="H9" s="1275"/>
      <c r="I9" s="1284"/>
      <c r="J9" s="1284"/>
      <c r="K9" s="1284"/>
      <c r="L9" s="1284"/>
      <c r="M9" s="1284"/>
      <c r="N9" s="1284"/>
    </row>
    <row r="10" spans="1:14">
      <c r="A10" s="1282"/>
      <c r="B10" s="24"/>
      <c r="C10" s="24"/>
      <c r="D10" s="1275"/>
      <c r="E10" s="1284"/>
      <c r="F10" s="24"/>
      <c r="G10" s="24"/>
      <c r="H10" s="1275"/>
      <c r="I10" s="1284"/>
      <c r="J10" s="1284"/>
      <c r="K10" s="1284"/>
      <c r="L10" s="1284"/>
      <c r="M10" s="1284"/>
      <c r="N10" s="1284"/>
    </row>
    <row r="11" spans="1:14">
      <c r="A11" s="1282"/>
      <c r="B11" s="24" t="s">
        <v>3641</v>
      </c>
      <c r="C11" s="24"/>
      <c r="D11" s="1275"/>
      <c r="E11" s="1284"/>
      <c r="F11" s="24" t="s">
        <v>3641</v>
      </c>
      <c r="G11" s="24"/>
      <c r="H11" s="1275"/>
      <c r="I11" s="1284"/>
      <c r="J11" s="1284"/>
      <c r="K11" s="1284"/>
      <c r="L11" s="1284"/>
      <c r="M11" s="1284"/>
      <c r="N11" s="1284"/>
    </row>
    <row r="12" spans="1:14">
      <c r="A12" s="1282"/>
      <c r="B12" s="24" t="s">
        <v>1162</v>
      </c>
      <c r="C12" s="24"/>
      <c r="D12" s="1275"/>
      <c r="E12" s="1284"/>
      <c r="F12" s="24" t="s">
        <v>1162</v>
      </c>
      <c r="G12" s="24"/>
      <c r="H12" s="1275"/>
      <c r="I12" s="1284"/>
      <c r="J12" s="1284"/>
      <c r="K12" s="1284"/>
      <c r="L12" s="1284"/>
      <c r="M12" s="1284"/>
      <c r="N12" s="1284"/>
    </row>
    <row r="13" spans="1:14">
      <c r="A13" s="1282"/>
      <c r="B13" s="24"/>
      <c r="C13" s="24"/>
      <c r="D13" s="1275"/>
      <c r="E13" s="1284"/>
      <c r="F13" s="24"/>
      <c r="G13" s="24"/>
      <c r="H13" s="1275"/>
      <c r="I13" s="1284"/>
      <c r="J13" s="1284"/>
      <c r="K13" s="1284"/>
      <c r="L13" s="1284"/>
      <c r="M13" s="1284"/>
      <c r="N13" s="1284"/>
    </row>
    <row r="14" spans="1:14">
      <c r="A14" s="1282"/>
      <c r="B14" s="37" t="s">
        <v>1163</v>
      </c>
      <c r="C14" s="1278">
        <v>0.04</v>
      </c>
      <c r="D14" s="1275"/>
      <c r="E14" s="1284"/>
      <c r="F14" s="37" t="s">
        <v>1163</v>
      </c>
      <c r="G14" s="1278">
        <v>0.04</v>
      </c>
      <c r="H14" s="1275"/>
      <c r="I14" s="1284"/>
      <c r="J14" s="1284"/>
      <c r="K14" s="1284"/>
      <c r="L14" s="1284"/>
      <c r="M14" s="1284"/>
      <c r="N14" s="1284"/>
    </row>
    <row r="15" spans="1:14">
      <c r="A15" s="1282"/>
      <c r="B15" s="37" t="s">
        <v>525</v>
      </c>
      <c r="C15" s="1279">
        <v>1000</v>
      </c>
      <c r="D15" s="1275"/>
      <c r="E15" s="1284"/>
      <c r="F15" s="37" t="s">
        <v>525</v>
      </c>
      <c r="G15" s="1279">
        <v>1000</v>
      </c>
      <c r="H15" s="1275"/>
      <c r="I15" s="1284"/>
      <c r="J15" s="1284"/>
      <c r="K15" s="1284"/>
      <c r="L15" s="1284"/>
      <c r="M15" s="1284"/>
      <c r="N15" s="1284"/>
    </row>
    <row r="16" spans="1:14">
      <c r="A16" s="1282"/>
      <c r="B16" s="1280" t="s">
        <v>1164</v>
      </c>
      <c r="C16" s="1281">
        <f>C15+C15*C14</f>
        <v>1040</v>
      </c>
      <c r="D16" s="1275"/>
      <c r="E16" s="1284"/>
      <c r="F16" s="1280" t="s">
        <v>1164</v>
      </c>
      <c r="G16" s="1281">
        <f>G15+G15*G14</f>
        <v>1040</v>
      </c>
      <c r="H16" s="1275"/>
      <c r="I16" s="1284"/>
      <c r="J16" s="1284"/>
      <c r="K16" s="1284"/>
      <c r="L16" s="1284"/>
      <c r="M16" s="1284"/>
      <c r="N16" s="1284"/>
    </row>
    <row r="17" spans="1:14">
      <c r="A17" s="1282"/>
      <c r="B17" s="1280" t="s">
        <v>1165</v>
      </c>
      <c r="C17" s="1281">
        <f>C16+C15*C14</f>
        <v>1080</v>
      </c>
      <c r="D17" s="1275"/>
      <c r="E17" s="1284"/>
      <c r="F17" s="1280" t="s">
        <v>1165</v>
      </c>
      <c r="G17" s="1281">
        <f>G16+G16*G14</f>
        <v>1081.5999999999999</v>
      </c>
      <c r="H17" s="1275"/>
      <c r="I17" s="1284"/>
      <c r="J17" s="1284"/>
      <c r="K17" s="1284"/>
      <c r="L17" s="1284"/>
      <c r="M17" s="1284"/>
      <c r="N17" s="1284"/>
    </row>
    <row r="18" spans="1:14">
      <c r="A18" s="1282"/>
      <c r="B18" s="1280" t="s">
        <v>1166</v>
      </c>
      <c r="C18" s="1281">
        <f>C17+C15*C14</f>
        <v>1120</v>
      </c>
      <c r="D18" s="1275"/>
      <c r="E18" s="1284"/>
      <c r="F18" s="1280" t="s">
        <v>1166</v>
      </c>
      <c r="G18" s="1281">
        <f>G17+G17*G14</f>
        <v>1124.8639999999998</v>
      </c>
      <c r="H18" s="1275"/>
      <c r="I18" s="1284"/>
      <c r="J18" s="1284"/>
      <c r="K18" s="1284"/>
      <c r="L18" s="1284"/>
      <c r="M18" s="1284"/>
      <c r="N18" s="1284"/>
    </row>
    <row r="19" spans="1:14">
      <c r="A19" s="1282"/>
      <c r="B19" s="1280" t="s">
        <v>1167</v>
      </c>
      <c r="C19" s="1281">
        <f>C18+C15*C14</f>
        <v>1160</v>
      </c>
      <c r="D19" s="1275"/>
      <c r="E19" s="1284"/>
      <c r="F19" s="1280" t="s">
        <v>1167</v>
      </c>
      <c r="G19" s="1281">
        <f>G18+G18*G14</f>
        <v>1169.8585599999999</v>
      </c>
      <c r="H19" s="1275"/>
      <c r="I19" s="1284"/>
      <c r="J19" s="1284"/>
      <c r="K19" s="1284"/>
      <c r="L19" s="1284"/>
      <c r="M19" s="1284"/>
      <c r="N19" s="1284"/>
    </row>
    <row r="20" spans="1:14">
      <c r="A20" s="1282"/>
      <c r="B20" s="1280" t="s">
        <v>1168</v>
      </c>
      <c r="C20" s="1281">
        <f>C19+C15*C14</f>
        <v>1200</v>
      </c>
      <c r="D20" s="1275"/>
      <c r="E20" s="1284"/>
      <c r="F20" s="1280" t="s">
        <v>1168</v>
      </c>
      <c r="G20" s="1281">
        <f>G19+G19*G14</f>
        <v>1216.6529023999999</v>
      </c>
      <c r="H20" s="1275"/>
      <c r="I20" s="1284"/>
      <c r="J20" s="1284"/>
      <c r="K20" s="1284"/>
      <c r="L20" s="1284"/>
      <c r="M20" s="1284"/>
      <c r="N20" s="1284"/>
    </row>
    <row r="21" spans="1:14">
      <c r="A21" s="1282"/>
      <c r="B21" s="1280" t="s">
        <v>1169</v>
      </c>
      <c r="C21" s="1281">
        <f>C20+C15*C14</f>
        <v>1240</v>
      </c>
      <c r="D21" s="1275"/>
      <c r="E21" s="1284"/>
      <c r="F21" s="1280" t="s">
        <v>1169</v>
      </c>
      <c r="G21" s="1281">
        <f>G20+G20*G14</f>
        <v>1265.3190184959999</v>
      </c>
      <c r="H21" s="1275"/>
      <c r="I21" s="1284"/>
      <c r="K21" s="1284"/>
      <c r="L21" s="1284"/>
      <c r="M21" s="1284"/>
      <c r="N21" s="1284"/>
    </row>
    <row r="22" spans="1:14">
      <c r="A22" s="1282"/>
      <c r="B22" s="1280" t="s">
        <v>1170</v>
      </c>
      <c r="C22" s="1281">
        <f>C21+C15*C14</f>
        <v>1280</v>
      </c>
      <c r="D22" s="1275"/>
      <c r="E22" s="1284"/>
      <c r="F22" s="1280" t="s">
        <v>1170</v>
      </c>
      <c r="G22" s="1281">
        <f>G21+G21*G14</f>
        <v>1315.9317792358399</v>
      </c>
      <c r="H22" s="1275"/>
      <c r="I22" s="1284"/>
      <c r="J22" s="1284"/>
      <c r="K22" s="1284"/>
      <c r="L22" s="1284"/>
      <c r="M22" s="1284"/>
      <c r="N22" s="1284"/>
    </row>
    <row r="23" spans="1:14">
      <c r="A23" s="1282"/>
      <c r="B23" s="1280" t="s">
        <v>1171</v>
      </c>
      <c r="C23" s="1281">
        <f>C22+C15*C14</f>
        <v>1320</v>
      </c>
      <c r="D23" s="1275"/>
      <c r="E23" s="1284"/>
      <c r="F23" s="1280" t="s">
        <v>1171</v>
      </c>
      <c r="G23" s="1281">
        <f>G22+G22*G14</f>
        <v>1368.5690504052736</v>
      </c>
      <c r="H23" s="1275"/>
      <c r="I23" s="1284"/>
      <c r="J23" s="1284"/>
      <c r="K23" s="1284"/>
      <c r="L23" s="1284"/>
      <c r="M23" s="1284"/>
      <c r="N23" s="1284"/>
    </row>
    <row r="24" spans="1:14">
      <c r="A24" s="1282"/>
      <c r="B24" s="1280" t="s">
        <v>1172</v>
      </c>
      <c r="C24" s="1281">
        <f>C23+C15*C14</f>
        <v>1360</v>
      </c>
      <c r="D24" s="1275"/>
      <c r="E24" s="1284"/>
      <c r="F24" s="1280" t="s">
        <v>1172</v>
      </c>
      <c r="G24" s="1281">
        <f>G23+G23*G14</f>
        <v>1423.3118124214845</v>
      </c>
      <c r="H24" s="1275"/>
      <c r="I24" s="1284"/>
      <c r="J24" s="1284"/>
      <c r="K24" s="1284"/>
      <c r="L24" s="1284"/>
      <c r="M24" s="1284"/>
      <c r="N24" s="1284"/>
    </row>
    <row r="25" spans="1:14">
      <c r="A25" s="1282"/>
      <c r="B25" s="1280" t="s">
        <v>1173</v>
      </c>
      <c r="C25" s="1281">
        <f>C24+C15*C14</f>
        <v>1400</v>
      </c>
      <c r="D25" s="1275"/>
      <c r="E25" s="1284"/>
      <c r="F25" s="1280" t="s">
        <v>1173</v>
      </c>
      <c r="G25" s="1281">
        <f>G24+G24*G14</f>
        <v>1480.244284918344</v>
      </c>
      <c r="H25" s="1275"/>
      <c r="I25" s="1284"/>
      <c r="J25" s="1284"/>
      <c r="K25" s="1284"/>
      <c r="L25" s="1284"/>
      <c r="M25" s="1284"/>
      <c r="N25" s="1284"/>
    </row>
    <row r="26" spans="1:14">
      <c r="A26" s="1282"/>
      <c r="B26" s="37"/>
      <c r="C26" s="24"/>
      <c r="D26" s="1275"/>
      <c r="E26" s="1284"/>
      <c r="F26" s="37"/>
      <c r="G26" s="24"/>
      <c r="H26" s="1275"/>
      <c r="I26" s="1284"/>
      <c r="J26" s="1284"/>
      <c r="K26" s="1284"/>
      <c r="L26" s="1284"/>
      <c r="M26" s="1284"/>
      <c r="N26" s="1284"/>
    </row>
    <row r="27" spans="1:14">
      <c r="A27" s="1282"/>
      <c r="B27" s="24" t="str">
        <f>"Am Ende des 10. Jahres erhält man "&amp;ROUND(C25,2)&amp;" Euro"</f>
        <v>Am Ende des 10. Jahres erhält man 1400 Euro</v>
      </c>
      <c r="C27" s="24"/>
      <c r="D27" s="1275"/>
      <c r="E27" s="1284"/>
      <c r="F27" s="24" t="str">
        <f>"Am Ende des 10. Jahres erhält man "&amp;ROUND(G25,2)&amp;" Euro"</f>
        <v>Am Ende des 10. Jahres erhält man 1480,24 Euro</v>
      </c>
      <c r="G27" s="24"/>
      <c r="H27" s="1275"/>
      <c r="I27" s="1284"/>
      <c r="J27" s="1284"/>
      <c r="K27" s="1284"/>
      <c r="L27" s="1284"/>
      <c r="M27" s="1284"/>
      <c r="N27" s="1284"/>
    </row>
    <row r="28" spans="1:14">
      <c r="A28" s="1282"/>
      <c r="B28" s="1276"/>
      <c r="C28" s="1277"/>
      <c r="D28" s="1275"/>
      <c r="E28" s="1284"/>
      <c r="F28" s="1284"/>
      <c r="G28" s="1284"/>
      <c r="H28" s="1284"/>
      <c r="I28" s="1284"/>
      <c r="J28" s="1284"/>
      <c r="K28" s="1284"/>
      <c r="L28" s="1284"/>
      <c r="M28" s="1284"/>
      <c r="N28" s="1284"/>
    </row>
    <row r="29" spans="1:14" ht="15.75">
      <c r="A29" s="1282"/>
      <c r="D29" s="1275"/>
      <c r="E29" s="1284"/>
      <c r="F29" s="1318" t="s">
        <v>3758</v>
      </c>
      <c r="G29" s="1318">
        <f>C15*(1+C14)^10</f>
        <v>1480.2442849183446</v>
      </c>
      <c r="H29" s="1284"/>
      <c r="I29" s="1284"/>
      <c r="J29" s="1284"/>
      <c r="K29" s="1284"/>
      <c r="L29" s="1284"/>
      <c r="M29" s="1284"/>
      <c r="N29" s="1284"/>
    </row>
    <row r="30" spans="1:14">
      <c r="A30" s="1282"/>
      <c r="B30" s="1276"/>
      <c r="C30" s="1277"/>
      <c r="D30" s="1275"/>
      <c r="E30" s="1284"/>
      <c r="F30" s="491" t="s">
        <v>1205</v>
      </c>
      <c r="G30" s="1284"/>
      <c r="H30" s="1284"/>
      <c r="I30" s="1284"/>
      <c r="J30" s="1284"/>
      <c r="K30" s="1284"/>
      <c r="L30" s="1284"/>
      <c r="M30" s="1284"/>
      <c r="N30" s="1284"/>
    </row>
    <row r="31" spans="1:14">
      <c r="A31" s="1282"/>
      <c r="B31" s="1276"/>
      <c r="C31" s="1277"/>
      <c r="D31" s="1275"/>
      <c r="E31" s="1284"/>
      <c r="F31" s="1284"/>
      <c r="G31" s="1284"/>
      <c r="H31" s="1284"/>
      <c r="I31" s="1284"/>
      <c r="J31" s="1284"/>
      <c r="K31" s="1284"/>
      <c r="L31" s="1284"/>
      <c r="M31" s="1284"/>
      <c r="N31" s="1284"/>
    </row>
    <row r="32" spans="1:14">
      <c r="A32" s="62"/>
      <c r="B32" s="24"/>
      <c r="C32" s="24"/>
      <c r="D32" s="24"/>
      <c r="E32" s="24"/>
      <c r="F32" s="24"/>
      <c r="G32" s="24"/>
      <c r="H32" s="24"/>
      <c r="I32" s="24"/>
      <c r="J32" s="1284"/>
      <c r="K32" s="1284"/>
      <c r="L32" s="1284"/>
      <c r="M32" s="1284"/>
      <c r="N32" s="1284"/>
    </row>
    <row r="33" spans="1:14">
      <c r="A33" s="346"/>
      <c r="B33" s="24"/>
      <c r="C33" s="24"/>
      <c r="D33" s="24"/>
      <c r="E33" s="24"/>
      <c r="F33" s="24"/>
      <c r="G33" s="24"/>
      <c r="H33" s="24"/>
      <c r="I33" s="24"/>
      <c r="J33" s="1284"/>
      <c r="K33" s="1284"/>
      <c r="L33" s="1284"/>
      <c r="M33" s="1284"/>
      <c r="N33" s="1284"/>
    </row>
    <row r="34" spans="1:14">
      <c r="A34" s="346">
        <v>1</v>
      </c>
      <c r="B34" s="24" t="s">
        <v>3658</v>
      </c>
      <c r="C34" s="24"/>
      <c r="D34" s="24"/>
      <c r="E34" s="24"/>
      <c r="F34" s="24"/>
      <c r="G34" s="24"/>
      <c r="H34" s="24"/>
      <c r="I34" s="24"/>
      <c r="J34" s="1284"/>
      <c r="K34" s="1284"/>
      <c r="L34" s="1284"/>
      <c r="M34" s="1284"/>
      <c r="N34" s="1284"/>
    </row>
    <row r="35" spans="1:14">
      <c r="A35" s="346"/>
      <c r="B35" s="24"/>
      <c r="C35" s="24"/>
      <c r="D35" s="24"/>
      <c r="E35" s="24"/>
      <c r="F35" s="24"/>
      <c r="G35" s="24"/>
      <c r="H35" s="24"/>
      <c r="I35" s="24"/>
      <c r="J35" s="1284"/>
      <c r="K35" s="1284"/>
      <c r="L35" s="1284"/>
      <c r="M35" s="1284"/>
      <c r="N35" s="1284"/>
    </row>
    <row r="36" spans="1:14">
      <c r="A36" s="346"/>
      <c r="B36" s="24" t="s">
        <v>3659</v>
      </c>
      <c r="C36" s="465">
        <v>35000</v>
      </c>
      <c r="D36" s="24" t="s">
        <v>3660</v>
      </c>
      <c r="E36" s="24"/>
      <c r="F36" s="24"/>
      <c r="G36" s="24"/>
      <c r="H36" s="24"/>
      <c r="I36" s="24"/>
      <c r="J36" s="1284"/>
      <c r="K36" s="1284"/>
      <c r="L36" s="1284"/>
      <c r="M36" s="1284"/>
      <c r="N36" s="1284"/>
    </row>
    <row r="37" spans="1:14">
      <c r="A37" s="346"/>
      <c r="B37" s="24" t="s">
        <v>1163</v>
      </c>
      <c r="C37" s="1288">
        <v>3.5</v>
      </c>
      <c r="D37" s="24" t="s">
        <v>459</v>
      </c>
      <c r="E37" s="24"/>
      <c r="F37" s="24"/>
      <c r="G37" s="24"/>
      <c r="H37" s="24"/>
      <c r="I37" s="24"/>
      <c r="J37" s="1284"/>
      <c r="K37" s="1284"/>
      <c r="L37" s="1284"/>
      <c r="M37" s="1284"/>
      <c r="N37" s="1284"/>
    </row>
    <row r="38" spans="1:14">
      <c r="A38" s="346"/>
      <c r="B38" s="24" t="s">
        <v>3661</v>
      </c>
      <c r="C38" s="465">
        <v>17</v>
      </c>
      <c r="D38" s="24" t="s">
        <v>3662</v>
      </c>
      <c r="E38" s="24"/>
      <c r="F38" s="24"/>
      <c r="G38" s="24"/>
      <c r="H38" s="24"/>
      <c r="I38" s="24"/>
      <c r="J38" s="1284"/>
      <c r="K38" s="1284"/>
      <c r="L38" s="1284"/>
      <c r="M38" s="1284"/>
      <c r="N38" s="1284"/>
    </row>
    <row r="39" spans="1:14">
      <c r="A39" s="346"/>
      <c r="B39" s="24" t="s">
        <v>3663</v>
      </c>
      <c r="C39" s="465">
        <v>360</v>
      </c>
      <c r="D39" s="24" t="s">
        <v>3662</v>
      </c>
      <c r="E39" s="24"/>
      <c r="F39" s="24"/>
      <c r="G39" s="24"/>
      <c r="H39" s="24"/>
      <c r="I39" s="24"/>
      <c r="J39" s="1284"/>
      <c r="K39" s="1284"/>
      <c r="L39" s="1284"/>
      <c r="M39" s="1284"/>
      <c r="N39" s="1284"/>
    </row>
    <row r="40" spans="1:14">
      <c r="A40" s="346"/>
      <c r="B40" s="24"/>
      <c r="C40" s="24"/>
      <c r="D40" s="24"/>
      <c r="E40" s="24"/>
      <c r="F40" s="24"/>
      <c r="G40" s="24"/>
      <c r="H40" s="24"/>
      <c r="I40" s="24"/>
      <c r="J40" s="1284"/>
      <c r="K40" s="1284"/>
      <c r="L40" s="1284"/>
      <c r="M40" s="1284"/>
      <c r="N40" s="1284"/>
    </row>
    <row r="41" spans="1:14">
      <c r="A41" s="346"/>
      <c r="B41" s="24" t="s">
        <v>3664</v>
      </c>
      <c r="C41" s="685">
        <f>C36*C37/100*(C38/C39)</f>
        <v>57.847222222222221</v>
      </c>
      <c r="D41" s="24" t="s">
        <v>3660</v>
      </c>
      <c r="E41" s="1284" t="s">
        <v>3670</v>
      </c>
      <c r="F41" s="24"/>
      <c r="G41" s="24"/>
      <c r="H41" s="24"/>
      <c r="I41" s="24"/>
      <c r="J41" s="1284"/>
      <c r="K41" s="1284"/>
      <c r="L41" s="1284"/>
      <c r="M41" s="1284"/>
      <c r="N41" s="1284"/>
    </row>
    <row r="42" spans="1:14">
      <c r="A42" s="346"/>
      <c r="B42" s="24"/>
      <c r="C42" s="24"/>
      <c r="D42" s="24"/>
      <c r="E42" s="24"/>
      <c r="F42" s="24"/>
      <c r="G42" s="24"/>
      <c r="H42" s="24"/>
      <c r="I42" s="24"/>
      <c r="J42" s="1284"/>
      <c r="K42" s="1284"/>
      <c r="L42" s="1284"/>
      <c r="M42" s="1284"/>
      <c r="N42" s="1284"/>
    </row>
    <row r="43" spans="1:14">
      <c r="A43" s="346"/>
      <c r="B43" s="24"/>
      <c r="C43" s="24"/>
      <c r="D43" s="24"/>
      <c r="E43" s="24"/>
      <c r="F43" s="24"/>
      <c r="G43" s="24"/>
      <c r="H43" s="24"/>
      <c r="I43" s="24"/>
      <c r="J43" s="1284"/>
      <c r="K43" s="1284"/>
      <c r="L43" s="1284"/>
      <c r="M43" s="1284"/>
      <c r="N43" s="1284"/>
    </row>
    <row r="44" spans="1:14">
      <c r="A44" s="346">
        <v>2</v>
      </c>
      <c r="B44" s="24" t="s">
        <v>3643</v>
      </c>
      <c r="C44" s="24"/>
      <c r="D44" s="24"/>
      <c r="E44" s="24"/>
      <c r="F44" s="24"/>
      <c r="G44" s="24"/>
      <c r="H44" s="24"/>
      <c r="I44" s="24"/>
      <c r="J44" s="1284"/>
      <c r="K44" s="1284"/>
      <c r="L44" s="1284"/>
      <c r="M44" s="1284"/>
      <c r="N44" s="1284"/>
    </row>
    <row r="45" spans="1:14">
      <c r="A45" s="346"/>
      <c r="B45" s="24"/>
      <c r="C45" s="24"/>
      <c r="D45" s="24"/>
      <c r="E45" s="24"/>
      <c r="F45" s="24"/>
      <c r="G45" s="24"/>
      <c r="H45" s="24"/>
      <c r="I45" s="24"/>
      <c r="J45" s="1284"/>
      <c r="K45" s="1284"/>
      <c r="L45" s="1284"/>
      <c r="M45" s="1284"/>
      <c r="N45" s="1284"/>
    </row>
    <row r="46" spans="1:14">
      <c r="A46" s="346"/>
      <c r="B46" s="24" t="s">
        <v>3665</v>
      </c>
      <c r="C46" s="465">
        <v>35000</v>
      </c>
      <c r="D46" s="24" t="s">
        <v>3660</v>
      </c>
      <c r="E46" s="24"/>
      <c r="F46" s="24"/>
      <c r="G46" s="24"/>
      <c r="H46" s="24"/>
      <c r="I46" s="24"/>
      <c r="J46" s="1284"/>
      <c r="K46" s="1284"/>
      <c r="L46" s="1284"/>
      <c r="M46" s="1284"/>
      <c r="N46" s="1284"/>
    </row>
    <row r="47" spans="1:14">
      <c r="A47" s="346"/>
      <c r="B47" s="24" t="s">
        <v>1163</v>
      </c>
      <c r="C47" s="1288">
        <v>3.5</v>
      </c>
      <c r="D47" s="24" t="s">
        <v>459</v>
      </c>
      <c r="E47" s="24"/>
      <c r="F47" s="24"/>
      <c r="G47" s="24"/>
      <c r="H47" s="24"/>
      <c r="I47" s="24"/>
      <c r="J47" s="1284"/>
      <c r="K47" s="1284"/>
      <c r="L47" s="1284"/>
      <c r="M47" s="1284"/>
      <c r="N47" s="1284"/>
    </row>
    <row r="48" spans="1:14">
      <c r="A48" s="346"/>
      <c r="B48" s="1251" t="s">
        <v>3666</v>
      </c>
      <c r="C48" s="1289">
        <v>42795</v>
      </c>
      <c r="D48" s="1251"/>
      <c r="E48" s="24"/>
      <c r="F48" s="24"/>
      <c r="G48" s="24"/>
      <c r="H48" s="24"/>
      <c r="I48" s="24"/>
      <c r="J48" s="1284"/>
      <c r="K48" s="1284"/>
      <c r="L48" s="1284"/>
      <c r="M48" s="1284"/>
      <c r="N48" s="1284"/>
    </row>
    <row r="49" spans="1:14">
      <c r="A49" s="346"/>
      <c r="B49" s="24" t="s">
        <v>3667</v>
      </c>
      <c r="C49" s="1289">
        <v>42811</v>
      </c>
      <c r="D49" s="24"/>
      <c r="E49" s="24"/>
      <c r="F49" s="24"/>
      <c r="G49" s="24"/>
      <c r="H49" s="24"/>
      <c r="I49" s="24"/>
      <c r="J49" s="1284"/>
      <c r="K49" s="1284"/>
      <c r="L49" s="1284"/>
      <c r="M49" s="1284"/>
      <c r="N49" s="1284"/>
    </row>
    <row r="50" spans="1:14">
      <c r="A50" s="346"/>
      <c r="B50" s="346"/>
      <c r="C50" s="346"/>
      <c r="D50" s="346"/>
      <c r="E50" s="346"/>
      <c r="F50" s="346"/>
      <c r="G50" s="24"/>
      <c r="H50" s="24"/>
      <c r="I50" s="24"/>
      <c r="J50" s="1284"/>
      <c r="K50" s="1284"/>
      <c r="L50" s="1284"/>
      <c r="M50" s="1284"/>
      <c r="N50" s="1284"/>
    </row>
    <row r="51" spans="1:14">
      <c r="A51" s="346"/>
      <c r="B51" s="24" t="s">
        <v>3661</v>
      </c>
      <c r="C51" s="24">
        <f>DATEDIF(C48,C49+1,"d")</f>
        <v>17</v>
      </c>
      <c r="D51" s="24" t="s">
        <v>3662</v>
      </c>
      <c r="E51" s="24" t="s">
        <v>3668</v>
      </c>
      <c r="F51" s="24"/>
      <c r="G51" s="24"/>
      <c r="H51" s="24"/>
      <c r="I51" s="24"/>
      <c r="J51" s="1284"/>
      <c r="K51" s="1284"/>
      <c r="L51" s="1284"/>
      <c r="M51" s="1284"/>
      <c r="N51" s="1284"/>
    </row>
    <row r="52" spans="1:14">
      <c r="A52" s="346"/>
      <c r="B52" s="24" t="s">
        <v>3664</v>
      </c>
      <c r="C52" s="685">
        <f>C46*C47/100*(C51/360)</f>
        <v>57.847222222222221</v>
      </c>
      <c r="D52" s="24" t="s">
        <v>3660</v>
      </c>
      <c r="E52" s="24"/>
      <c r="F52" s="24"/>
      <c r="G52" s="24"/>
      <c r="H52" s="24"/>
      <c r="I52" s="24"/>
      <c r="J52" s="1284"/>
      <c r="K52" s="1284"/>
      <c r="L52" s="1284"/>
      <c r="M52" s="1284"/>
      <c r="N52" s="1284"/>
    </row>
    <row r="53" spans="1:14">
      <c r="A53" s="346"/>
      <c r="B53" s="24"/>
      <c r="C53" s="24"/>
      <c r="D53" s="24"/>
      <c r="E53" s="24"/>
      <c r="F53" s="24"/>
      <c r="G53" s="24"/>
      <c r="H53" s="24"/>
      <c r="I53" s="24"/>
      <c r="J53" s="1284"/>
      <c r="K53" s="1284"/>
      <c r="L53" s="1284"/>
      <c r="M53" s="1284"/>
      <c r="N53" s="1284"/>
    </row>
    <row r="54" spans="1:14">
      <c r="A54" s="1251"/>
      <c r="B54" s="1283"/>
      <c r="C54" s="24"/>
      <c r="D54" s="24"/>
      <c r="E54" s="24"/>
      <c r="F54" s="24"/>
      <c r="G54" s="24"/>
      <c r="H54" s="24"/>
      <c r="I54" s="24"/>
      <c r="J54" s="1284"/>
      <c r="K54" s="1284"/>
      <c r="L54" s="1284"/>
      <c r="M54" s="1284"/>
      <c r="N54" s="1284"/>
    </row>
    <row r="55" spans="1:14">
      <c r="A55" s="346"/>
      <c r="B55" s="24"/>
      <c r="C55" s="24"/>
      <c r="D55" s="24"/>
      <c r="E55" s="24"/>
      <c r="F55" s="24"/>
      <c r="G55" s="24"/>
      <c r="H55" s="24"/>
      <c r="I55" s="24"/>
      <c r="J55" s="1284"/>
      <c r="K55" s="1284"/>
      <c r="L55" s="1284"/>
      <c r="M55" s="1284"/>
      <c r="N55" s="1284"/>
    </row>
    <row r="56" spans="1:14">
      <c r="A56" s="346">
        <v>3</v>
      </c>
      <c r="B56" s="24" t="s">
        <v>3647</v>
      </c>
      <c r="C56" s="24"/>
      <c r="D56" s="24"/>
      <c r="E56" s="24"/>
      <c r="F56" s="24"/>
      <c r="G56" s="24"/>
      <c r="H56" s="24"/>
      <c r="I56" s="24"/>
      <c r="J56" s="1284"/>
      <c r="K56" s="1284"/>
      <c r="L56" s="1284"/>
      <c r="M56" s="1284"/>
      <c r="N56" s="1284"/>
    </row>
    <row r="57" spans="1:14">
      <c r="A57" s="346"/>
      <c r="B57" s="24" t="s">
        <v>3648</v>
      </c>
      <c r="C57" s="24"/>
      <c r="D57" s="24"/>
      <c r="E57" s="24"/>
      <c r="F57" s="24"/>
      <c r="G57" s="24"/>
      <c r="H57" s="24"/>
      <c r="I57" s="24"/>
      <c r="J57" s="1284"/>
      <c r="K57" s="1284"/>
      <c r="L57" s="1284"/>
      <c r="M57" s="1284"/>
      <c r="N57" s="1284"/>
    </row>
    <row r="58" spans="1:14">
      <c r="A58" s="346"/>
      <c r="C58" s="24"/>
      <c r="D58" s="24"/>
      <c r="E58" s="24"/>
      <c r="F58" s="24"/>
      <c r="G58" s="24"/>
      <c r="H58" s="24"/>
      <c r="I58" s="24"/>
      <c r="J58" s="1284"/>
      <c r="K58" s="1284"/>
      <c r="L58" s="1284"/>
      <c r="M58" s="1284"/>
      <c r="N58" s="1284"/>
    </row>
    <row r="59" spans="1:14">
      <c r="A59" s="346"/>
      <c r="B59" s="24" t="s">
        <v>3659</v>
      </c>
      <c r="C59" s="1291">
        <v>1200</v>
      </c>
      <c r="D59" s="24" t="s">
        <v>3660</v>
      </c>
      <c r="E59" s="24"/>
      <c r="F59" s="24"/>
      <c r="G59" s="24"/>
      <c r="H59" s="24"/>
      <c r="I59" s="24"/>
      <c r="J59" s="1284"/>
      <c r="K59" s="1284"/>
      <c r="L59" s="1284"/>
      <c r="M59" s="1284"/>
      <c r="N59" s="1284"/>
    </row>
    <row r="60" spans="1:14">
      <c r="A60" s="346"/>
      <c r="B60" s="24" t="s">
        <v>3664</v>
      </c>
      <c r="C60" s="1291">
        <v>1219.5</v>
      </c>
      <c r="D60" s="24" t="s">
        <v>3660</v>
      </c>
      <c r="E60" s="24"/>
      <c r="F60" s="24"/>
      <c r="G60" s="24"/>
      <c r="H60" s="24"/>
      <c r="I60" s="24"/>
      <c r="J60" s="1284"/>
      <c r="K60" s="1284"/>
      <c r="L60" s="1284"/>
      <c r="M60" s="1284"/>
      <c r="N60" s="1284"/>
    </row>
    <row r="61" spans="1:14">
      <c r="A61" s="346"/>
      <c r="B61" s="24" t="s">
        <v>3661</v>
      </c>
      <c r="C61" s="465">
        <v>90</v>
      </c>
      <c r="D61" s="24" t="s">
        <v>3662</v>
      </c>
      <c r="E61" s="24"/>
      <c r="F61" s="24"/>
      <c r="G61" s="24"/>
      <c r="H61" s="24"/>
      <c r="I61" s="24"/>
      <c r="J61" s="1284"/>
      <c r="K61" s="1284"/>
      <c r="L61" s="1284"/>
      <c r="M61" s="1284"/>
      <c r="N61" s="1284"/>
    </row>
    <row r="62" spans="1:14" ht="15.75">
      <c r="A62" s="346"/>
      <c r="B62" s="24" t="s">
        <v>3663</v>
      </c>
      <c r="C62" s="465">
        <v>360</v>
      </c>
      <c r="D62" s="24" t="s">
        <v>3662</v>
      </c>
      <c r="E62" s="24"/>
      <c r="F62" s="24"/>
      <c r="G62" s="24"/>
      <c r="H62" s="24"/>
      <c r="I62" s="24"/>
      <c r="J62" s="1284"/>
      <c r="K62" s="1284"/>
      <c r="L62" s="1316" t="s">
        <v>3755</v>
      </c>
      <c r="M62" s="1284"/>
      <c r="N62" s="1284"/>
    </row>
    <row r="63" spans="1:14">
      <c r="A63" s="346"/>
      <c r="B63" s="24"/>
      <c r="C63" s="24"/>
      <c r="D63" s="24"/>
      <c r="E63" s="24"/>
      <c r="F63" s="24"/>
      <c r="G63" s="24"/>
      <c r="H63" s="24"/>
      <c r="I63" s="24"/>
      <c r="J63" s="1284"/>
      <c r="K63" s="1284"/>
      <c r="L63" s="1284"/>
      <c r="M63" s="1284"/>
      <c r="N63" s="1284"/>
    </row>
    <row r="64" spans="1:14">
      <c r="A64" s="346"/>
      <c r="B64" s="24" t="s">
        <v>1163</v>
      </c>
      <c r="C64" s="685">
        <f>100*(C60-C59)/C59*C62/C61</f>
        <v>6.5</v>
      </c>
      <c r="D64" s="24" t="s">
        <v>459</v>
      </c>
      <c r="E64" s="24"/>
      <c r="F64" s="24"/>
      <c r="G64" s="24"/>
      <c r="H64" s="24"/>
      <c r="I64" s="24"/>
      <c r="J64" s="1284"/>
      <c r="K64" s="1284"/>
      <c r="L64" s="491" t="s">
        <v>1205</v>
      </c>
      <c r="M64" s="1284"/>
      <c r="N64" s="1284"/>
    </row>
    <row r="65" spans="1:14">
      <c r="A65" s="346"/>
      <c r="B65" s="24"/>
      <c r="C65" s="24"/>
      <c r="D65" s="24"/>
      <c r="E65" s="24"/>
      <c r="F65" s="24"/>
      <c r="G65" s="24"/>
      <c r="H65" s="24"/>
      <c r="I65" s="24"/>
      <c r="J65" s="1284"/>
      <c r="K65" s="1284"/>
      <c r="L65" s="51"/>
      <c r="M65" s="1284"/>
      <c r="N65" s="1284"/>
    </row>
    <row r="66" spans="1:14" ht="15">
      <c r="A66" s="346"/>
      <c r="B66" s="24"/>
      <c r="C66" s="24"/>
      <c r="D66" s="24"/>
      <c r="E66" s="24"/>
      <c r="F66" s="24"/>
      <c r="G66" s="24"/>
      <c r="H66" s="24"/>
      <c r="I66" s="24"/>
      <c r="J66" s="1284"/>
      <c r="K66" s="1284"/>
      <c r="L66" s="1317" t="s">
        <v>3756</v>
      </c>
      <c r="M66" s="1284"/>
      <c r="N66" s="1284"/>
    </row>
    <row r="67" spans="1:14" ht="15.75">
      <c r="A67" s="346"/>
      <c r="B67" s="24"/>
      <c r="C67" s="24"/>
      <c r="D67" s="24"/>
      <c r="E67" s="24"/>
      <c r="F67" s="24"/>
      <c r="G67" s="24"/>
      <c r="H67" s="24"/>
      <c r="I67" s="24"/>
      <c r="J67" s="1284"/>
      <c r="K67" s="1284"/>
      <c r="L67" s="1316" t="s">
        <v>3757</v>
      </c>
      <c r="M67" s="1284"/>
      <c r="N67" s="1284"/>
    </row>
    <row r="68" spans="1:14">
      <c r="A68" s="346">
        <v>4</v>
      </c>
      <c r="B68" s="24" t="s">
        <v>3645</v>
      </c>
      <c r="C68" s="24"/>
      <c r="D68" s="24"/>
      <c r="E68" s="24"/>
      <c r="F68" s="24"/>
      <c r="G68" s="24"/>
      <c r="H68" s="24"/>
      <c r="I68" s="24"/>
      <c r="J68" s="1284"/>
      <c r="K68" s="1284"/>
      <c r="L68" s="1284"/>
      <c r="M68" s="1284"/>
      <c r="N68" s="1284"/>
    </row>
    <row r="69" spans="1:14">
      <c r="A69" s="346"/>
      <c r="B69" s="24" t="s">
        <v>3646</v>
      </c>
      <c r="C69" s="24"/>
      <c r="D69" s="24"/>
      <c r="E69" s="24"/>
      <c r="F69" s="24"/>
      <c r="G69" s="24"/>
      <c r="H69" s="24"/>
      <c r="I69" s="24"/>
      <c r="J69" s="1284"/>
      <c r="K69" s="1284"/>
      <c r="L69" s="491" t="s">
        <v>3754</v>
      </c>
      <c r="M69" s="1284"/>
      <c r="N69" s="1284"/>
    </row>
    <row r="70" spans="1:14">
      <c r="A70" s="346"/>
      <c r="B70" s="24"/>
      <c r="C70" s="24"/>
      <c r="D70" s="24"/>
      <c r="E70" s="24"/>
      <c r="F70" s="24"/>
      <c r="G70" s="24"/>
      <c r="H70" s="24"/>
      <c r="I70" s="24"/>
      <c r="J70" s="1284"/>
      <c r="K70" s="1284"/>
      <c r="L70" s="1284"/>
      <c r="M70" s="1251"/>
      <c r="N70" s="1284"/>
    </row>
    <row r="71" spans="1:14">
      <c r="A71" s="346"/>
      <c r="B71" s="24" t="s">
        <v>3664</v>
      </c>
      <c r="C71" s="1290">
        <v>15.5</v>
      </c>
      <c r="D71" s="24" t="s">
        <v>3660</v>
      </c>
      <c r="E71" s="24"/>
      <c r="F71" s="24"/>
      <c r="G71" s="24"/>
      <c r="H71" s="24"/>
      <c r="I71" s="24"/>
      <c r="J71" s="1284"/>
      <c r="K71" s="1284"/>
      <c r="L71" s="1284"/>
      <c r="M71" s="1284"/>
      <c r="N71" s="1284"/>
    </row>
    <row r="72" spans="1:14">
      <c r="A72" s="346"/>
      <c r="B72" s="24" t="s">
        <v>1163</v>
      </c>
      <c r="C72" s="1288">
        <v>4</v>
      </c>
      <c r="D72" s="24" t="s">
        <v>459</v>
      </c>
      <c r="E72" s="24"/>
      <c r="F72" s="24"/>
      <c r="G72" s="24"/>
      <c r="H72" s="24"/>
      <c r="I72" s="24"/>
      <c r="J72" s="1284"/>
      <c r="K72" s="1284"/>
      <c r="L72" s="1284"/>
      <c r="M72" s="1284"/>
      <c r="N72" s="1284"/>
    </row>
    <row r="73" spans="1:14">
      <c r="A73" s="346"/>
      <c r="B73" s="1251" t="s">
        <v>3666</v>
      </c>
      <c r="C73" s="1289">
        <v>42941</v>
      </c>
      <c r="D73" s="1251"/>
      <c r="E73" s="24"/>
      <c r="F73" s="24"/>
      <c r="G73" s="24"/>
      <c r="H73" s="24"/>
      <c r="I73" s="24"/>
      <c r="J73" s="1284"/>
      <c r="K73" s="1284"/>
      <c r="L73" s="1284"/>
      <c r="M73" s="1284"/>
      <c r="N73" s="1284"/>
    </row>
    <row r="74" spans="1:14">
      <c r="A74" s="346"/>
      <c r="B74" s="24" t="s">
        <v>3667</v>
      </c>
      <c r="C74" s="1289">
        <v>43100</v>
      </c>
      <c r="D74" s="24"/>
      <c r="E74" s="24"/>
      <c r="F74" s="24"/>
      <c r="G74" s="24"/>
      <c r="H74" s="24"/>
      <c r="I74" s="24"/>
      <c r="J74" s="1284"/>
      <c r="K74" s="1284"/>
      <c r="L74" s="1284"/>
      <c r="M74" s="1284"/>
      <c r="N74" s="1284"/>
    </row>
    <row r="75" spans="1:14">
      <c r="A75" s="346"/>
      <c r="B75" s="346"/>
      <c r="C75" s="346"/>
      <c r="D75" s="346"/>
      <c r="E75" s="346"/>
      <c r="F75" s="346"/>
      <c r="G75" s="24"/>
      <c r="H75" s="24"/>
      <c r="I75" s="24"/>
      <c r="J75" s="1284"/>
      <c r="K75" s="1284"/>
      <c r="L75" s="1284"/>
      <c r="M75" s="1284"/>
      <c r="N75" s="1284"/>
    </row>
    <row r="76" spans="1:14">
      <c r="A76" s="346"/>
      <c r="B76" s="24" t="s">
        <v>3661</v>
      </c>
      <c r="C76" s="24">
        <f>DATEDIF(C73,C74+1,"d")</f>
        <v>160</v>
      </c>
      <c r="D76" s="24" t="s">
        <v>3662</v>
      </c>
      <c r="E76" s="24" t="s">
        <v>3668</v>
      </c>
      <c r="F76" s="24"/>
      <c r="G76" s="24"/>
      <c r="H76" s="24"/>
      <c r="I76" s="24"/>
      <c r="J76" s="1284"/>
      <c r="K76" s="1284"/>
      <c r="L76" s="1284"/>
      <c r="M76" s="1284"/>
      <c r="N76" s="1284"/>
    </row>
    <row r="77" spans="1:14">
      <c r="A77" s="346"/>
      <c r="B77" s="24" t="s">
        <v>3669</v>
      </c>
      <c r="C77" s="685">
        <f>C71/(C72/100)/(C76/360)</f>
        <v>871.875</v>
      </c>
      <c r="D77" s="24" t="s">
        <v>3660</v>
      </c>
      <c r="E77" s="24"/>
      <c r="F77" s="24"/>
      <c r="G77" s="24"/>
      <c r="H77" s="24"/>
      <c r="I77" s="24"/>
      <c r="J77" s="1284"/>
      <c r="K77" s="1284"/>
      <c r="L77" s="1284"/>
      <c r="M77" s="1284"/>
      <c r="N77" s="1284"/>
    </row>
    <row r="78" spans="1:14">
      <c r="A78" s="346"/>
      <c r="B78" s="24"/>
      <c r="C78" s="24"/>
      <c r="D78" s="24"/>
      <c r="E78" s="24"/>
      <c r="F78" s="24"/>
      <c r="G78" s="24"/>
      <c r="H78" s="24"/>
      <c r="I78" s="24"/>
      <c r="J78" s="1284"/>
      <c r="K78" s="1284"/>
      <c r="L78" s="1284"/>
      <c r="M78" s="1284"/>
      <c r="N78" s="1284"/>
    </row>
    <row r="79" spans="1:14">
      <c r="A79" s="346"/>
      <c r="B79" s="24"/>
      <c r="C79" s="24"/>
      <c r="D79" s="24"/>
      <c r="E79" s="24"/>
      <c r="F79" s="24"/>
      <c r="G79" s="24"/>
      <c r="H79" s="24"/>
      <c r="I79" s="24"/>
      <c r="J79" s="1284"/>
      <c r="K79" s="1284"/>
      <c r="L79" s="1284"/>
      <c r="M79" s="1284"/>
      <c r="N79" s="1284"/>
    </row>
    <row r="80" spans="1:14">
      <c r="B80" s="1282"/>
      <c r="C80" s="1282"/>
      <c r="D80" s="1282"/>
      <c r="E80" s="1282"/>
      <c r="F80" s="1282"/>
      <c r="G80" s="1282"/>
      <c r="H80" s="24"/>
      <c r="I80" s="24"/>
      <c r="J80" s="1284"/>
      <c r="K80" s="1284"/>
      <c r="L80" s="1284"/>
      <c r="M80" s="1284"/>
      <c r="N80" s="1284"/>
    </row>
    <row r="81" spans="1:14">
      <c r="A81" s="346">
        <v>5</v>
      </c>
      <c r="B81" s="24" t="s">
        <v>3649</v>
      </c>
      <c r="C81" s="24"/>
      <c r="D81" s="24"/>
      <c r="E81" s="24"/>
      <c r="F81" s="24"/>
      <c r="G81" s="24"/>
      <c r="H81" s="24"/>
      <c r="I81" s="24"/>
      <c r="J81" s="1284"/>
      <c r="K81" s="1284"/>
      <c r="L81" s="1284"/>
      <c r="M81" s="1284"/>
      <c r="N81" s="1284"/>
    </row>
    <row r="82" spans="1:14">
      <c r="A82" s="346"/>
      <c r="B82" s="24" t="s">
        <v>3650</v>
      </c>
      <c r="C82" s="24"/>
      <c r="D82" s="24"/>
      <c r="E82" s="24"/>
      <c r="F82" s="24"/>
      <c r="G82" s="24"/>
      <c r="H82" s="24"/>
      <c r="I82" s="24"/>
      <c r="J82" s="1284"/>
      <c r="K82" s="1284"/>
      <c r="L82" s="1284"/>
      <c r="M82" s="1284"/>
      <c r="N82" s="1284"/>
    </row>
    <row r="83" spans="1:14">
      <c r="A83" s="346"/>
      <c r="B83" s="24"/>
      <c r="C83" s="24"/>
      <c r="D83" s="24"/>
      <c r="E83" s="24"/>
      <c r="F83" s="24"/>
      <c r="G83" s="24"/>
      <c r="H83" s="24"/>
      <c r="I83" s="24"/>
      <c r="J83" s="1284"/>
      <c r="K83" s="1284"/>
      <c r="L83" s="1284"/>
      <c r="M83" s="1284"/>
      <c r="N83" s="1284"/>
    </row>
    <row r="84" spans="1:14">
      <c r="A84" s="346"/>
      <c r="B84" s="24" t="s">
        <v>1163</v>
      </c>
      <c r="C84" s="1288">
        <v>2</v>
      </c>
      <c r="D84" s="24" t="s">
        <v>459</v>
      </c>
      <c r="E84" s="24"/>
      <c r="F84" s="24"/>
      <c r="G84" s="24"/>
      <c r="H84" s="24"/>
      <c r="I84" s="24"/>
      <c r="J84" s="1284"/>
      <c r="K84" s="1284"/>
      <c r="L84" s="1284"/>
      <c r="M84" s="1284"/>
      <c r="N84" s="1284"/>
    </row>
    <row r="85" spans="1:14">
      <c r="A85" s="346"/>
      <c r="B85" s="1283"/>
      <c r="C85" s="1283"/>
      <c r="D85" s="1283"/>
      <c r="E85" s="1283"/>
      <c r="F85" s="1283"/>
      <c r="G85" s="24"/>
      <c r="H85" s="24"/>
      <c r="I85" s="24"/>
      <c r="J85" s="1284"/>
      <c r="K85" s="1284"/>
      <c r="L85" s="1284"/>
      <c r="M85" s="1284"/>
      <c r="N85" s="1284"/>
    </row>
    <row r="86" spans="1:14">
      <c r="A86" s="346"/>
      <c r="B86" s="1251" t="s">
        <v>3666</v>
      </c>
      <c r="C86" s="1289">
        <v>42781</v>
      </c>
      <c r="D86" s="1251"/>
      <c r="E86" s="24"/>
      <c r="F86" s="24"/>
      <c r="G86" s="24"/>
      <c r="H86" s="24"/>
      <c r="I86" s="24"/>
      <c r="J86" s="1284"/>
      <c r="K86" s="1284"/>
      <c r="L86" s="1284"/>
      <c r="M86" s="1284"/>
      <c r="N86" s="1284"/>
    </row>
    <row r="87" spans="1:14">
      <c r="A87" s="346"/>
      <c r="B87" s="24" t="s">
        <v>3667</v>
      </c>
      <c r="C87" s="1289">
        <v>42849</v>
      </c>
      <c r="D87" s="24"/>
      <c r="E87" s="24"/>
      <c r="F87" s="24"/>
      <c r="G87" s="24"/>
      <c r="H87" s="24"/>
      <c r="I87" s="24"/>
      <c r="J87" s="1284"/>
      <c r="K87" s="1284"/>
      <c r="L87" s="1284"/>
      <c r="M87" s="1284"/>
      <c r="N87" s="1284"/>
    </row>
    <row r="88" spans="1:14">
      <c r="A88" s="346"/>
      <c r="B88" s="24" t="s">
        <v>3661</v>
      </c>
      <c r="C88" s="24">
        <f>DATEDIF(C86,C87+1,"d")</f>
        <v>69</v>
      </c>
      <c r="D88" s="24" t="s">
        <v>3662</v>
      </c>
      <c r="E88" s="24" t="s">
        <v>3668</v>
      </c>
      <c r="F88" s="346"/>
      <c r="G88" s="24"/>
      <c r="H88" s="24"/>
      <c r="I88" s="24"/>
      <c r="J88" s="1284"/>
      <c r="K88" s="1284"/>
      <c r="L88" s="1284"/>
      <c r="M88" s="1284"/>
      <c r="N88" s="1284"/>
    </row>
    <row r="89" spans="1:14">
      <c r="A89" s="346"/>
      <c r="B89" s="24" t="s">
        <v>3672</v>
      </c>
      <c r="C89" s="24">
        <v>2400</v>
      </c>
      <c r="D89" s="24" t="s">
        <v>3660</v>
      </c>
      <c r="E89" s="24"/>
      <c r="F89" s="24"/>
      <c r="G89" s="24"/>
      <c r="H89" s="24"/>
      <c r="I89" s="24"/>
      <c r="J89" s="1284"/>
      <c r="K89" s="1284"/>
      <c r="L89" s="1284"/>
      <c r="M89" s="1284"/>
      <c r="N89" s="1284"/>
    </row>
    <row r="90" spans="1:14">
      <c r="A90" s="346"/>
      <c r="B90" s="1283" t="s">
        <v>3664</v>
      </c>
      <c r="C90" s="685">
        <f>C89*$C$84/100*C88/360</f>
        <v>9.1999999999999993</v>
      </c>
      <c r="D90" s="24" t="s">
        <v>3660</v>
      </c>
      <c r="E90" s="24"/>
      <c r="F90" s="24"/>
      <c r="G90" s="24"/>
      <c r="H90" s="24"/>
      <c r="I90" s="24"/>
      <c r="J90" s="1284"/>
      <c r="K90" s="1284"/>
      <c r="L90" s="1284"/>
      <c r="M90" s="1284"/>
      <c r="N90" s="1284"/>
    </row>
    <row r="91" spans="1:14">
      <c r="A91" s="346"/>
      <c r="B91" s="1283"/>
      <c r="C91" s="1283"/>
      <c r="D91" s="1283"/>
      <c r="E91" s="24"/>
      <c r="F91" s="24"/>
      <c r="G91" s="24"/>
      <c r="H91" s="24"/>
      <c r="I91" s="24"/>
      <c r="J91" s="1284"/>
      <c r="K91" s="1284"/>
      <c r="L91" s="1284"/>
      <c r="M91" s="1284"/>
      <c r="N91" s="1284"/>
    </row>
    <row r="92" spans="1:14">
      <c r="A92" s="346"/>
      <c r="B92" s="1251" t="s">
        <v>3666</v>
      </c>
      <c r="C92" s="1289">
        <v>42850</v>
      </c>
      <c r="D92" s="1251"/>
      <c r="E92" s="24"/>
      <c r="F92" s="24"/>
      <c r="G92" s="24"/>
      <c r="H92" s="24"/>
      <c r="I92" s="24"/>
      <c r="J92" s="1284"/>
      <c r="K92" s="1284"/>
      <c r="L92" s="1284"/>
      <c r="M92" s="1284"/>
      <c r="N92" s="1284"/>
    </row>
    <row r="93" spans="1:14">
      <c r="A93" s="346"/>
      <c r="B93" s="24" t="s">
        <v>3667</v>
      </c>
      <c r="C93" s="1289">
        <v>42864</v>
      </c>
      <c r="D93" s="24"/>
      <c r="E93" s="24"/>
      <c r="F93" s="24"/>
      <c r="G93" s="24"/>
      <c r="H93" s="24"/>
      <c r="I93" s="24"/>
      <c r="J93" s="1284"/>
      <c r="K93" s="1284"/>
      <c r="L93" s="1284"/>
      <c r="M93" s="1284"/>
      <c r="N93" s="1284"/>
    </row>
    <row r="94" spans="1:14">
      <c r="A94" s="346"/>
      <c r="B94" s="24" t="s">
        <v>3661</v>
      </c>
      <c r="C94" s="24">
        <f>DATEDIF(C92,C93+1,"d")</f>
        <v>15</v>
      </c>
      <c r="D94" s="24" t="s">
        <v>3662</v>
      </c>
      <c r="E94" s="24"/>
      <c r="F94" s="24"/>
      <c r="G94" s="24"/>
      <c r="H94" s="24"/>
      <c r="I94" s="24"/>
      <c r="J94" s="1284"/>
      <c r="K94" s="1284"/>
      <c r="L94" s="1284"/>
      <c r="M94" s="1284"/>
      <c r="N94" s="1284"/>
    </row>
    <row r="95" spans="1:14">
      <c r="A95" s="346"/>
      <c r="B95" s="24" t="s">
        <v>3674</v>
      </c>
      <c r="C95" s="24">
        <v>380</v>
      </c>
      <c r="D95" s="24" t="s">
        <v>3660</v>
      </c>
      <c r="E95" s="24"/>
      <c r="F95" s="24"/>
      <c r="G95" s="24"/>
      <c r="H95" s="24"/>
      <c r="I95" s="24"/>
      <c r="J95" s="1284"/>
      <c r="K95" s="1284"/>
      <c r="L95" s="1284"/>
      <c r="M95" s="1284"/>
      <c r="N95" s="1284"/>
    </row>
    <row r="96" spans="1:14">
      <c r="A96" s="346"/>
      <c r="B96" s="24" t="s">
        <v>3665</v>
      </c>
      <c r="C96" s="685">
        <f>C89+C90</f>
        <v>2409.1999999999998</v>
      </c>
      <c r="D96" s="24" t="s">
        <v>3660</v>
      </c>
      <c r="E96" s="24"/>
      <c r="F96" s="24"/>
      <c r="G96" s="24"/>
      <c r="H96" s="24"/>
      <c r="I96" s="24"/>
      <c r="J96" s="1284"/>
      <c r="K96" s="1284"/>
      <c r="L96" s="1284"/>
      <c r="M96" s="1284"/>
      <c r="N96" s="1284"/>
    </row>
    <row r="97" spans="1:14">
      <c r="A97" s="346"/>
      <c r="B97" s="1283" t="s">
        <v>3664</v>
      </c>
      <c r="C97" s="685">
        <f>C96*$C$84/100*C95/360</f>
        <v>50.860888888888887</v>
      </c>
      <c r="D97" s="24" t="s">
        <v>3660</v>
      </c>
      <c r="E97" s="24"/>
      <c r="F97" s="24"/>
      <c r="G97" s="24"/>
      <c r="H97" s="24"/>
      <c r="I97" s="24"/>
      <c r="J97" s="1284"/>
      <c r="K97" s="1284"/>
      <c r="L97" s="1284"/>
      <c r="M97" s="1284"/>
      <c r="N97" s="1284"/>
    </row>
    <row r="98" spans="1:14">
      <c r="A98" s="346"/>
      <c r="B98" s="1283"/>
      <c r="C98" s="1283"/>
      <c r="D98" s="1283"/>
      <c r="E98" s="24"/>
      <c r="F98" s="24"/>
      <c r="G98" s="24"/>
      <c r="H98" s="24"/>
      <c r="I98" s="24"/>
      <c r="J98" s="1284"/>
      <c r="K98" s="1284"/>
      <c r="L98" s="1284"/>
      <c r="M98" s="1284"/>
      <c r="N98" s="1284"/>
    </row>
    <row r="99" spans="1:14">
      <c r="A99" s="346"/>
      <c r="B99" s="1251" t="s">
        <v>3666</v>
      </c>
      <c r="C99" s="1289">
        <v>42865</v>
      </c>
      <c r="D99" s="1251"/>
      <c r="E99" s="24"/>
      <c r="F99" s="24"/>
      <c r="G99" s="24"/>
      <c r="H99" s="24"/>
      <c r="I99" s="24"/>
      <c r="J99" s="1284"/>
      <c r="K99" s="1284"/>
      <c r="L99" s="1284"/>
      <c r="M99" s="1284"/>
      <c r="N99" s="1284"/>
    </row>
    <row r="100" spans="1:14">
      <c r="A100" s="346"/>
      <c r="B100" s="24" t="s">
        <v>3667</v>
      </c>
      <c r="C100" s="1289">
        <v>42890</v>
      </c>
      <c r="D100" s="24"/>
      <c r="E100" s="24"/>
      <c r="F100" s="24"/>
      <c r="G100" s="24"/>
      <c r="H100" s="24"/>
      <c r="I100" s="24"/>
      <c r="J100" s="1284"/>
      <c r="K100" s="1284"/>
      <c r="L100" s="1284"/>
      <c r="M100" s="1284"/>
      <c r="N100" s="1284"/>
    </row>
    <row r="101" spans="1:14">
      <c r="A101" s="346"/>
      <c r="B101" s="24" t="s">
        <v>3661</v>
      </c>
      <c r="C101" s="24">
        <f>DATEDIF(C99,C100+1,"d")</f>
        <v>26</v>
      </c>
      <c r="D101" s="24" t="s">
        <v>3662</v>
      </c>
      <c r="E101" s="24"/>
      <c r="F101" s="24"/>
      <c r="G101" s="24"/>
      <c r="H101" s="24"/>
      <c r="I101" s="24"/>
      <c r="J101" s="1284"/>
      <c r="K101" s="1284"/>
      <c r="L101" s="1284"/>
      <c r="M101" s="1284"/>
      <c r="N101" s="1284"/>
    </row>
    <row r="102" spans="1:14">
      <c r="A102" s="346"/>
      <c r="B102" s="24" t="s">
        <v>3674</v>
      </c>
      <c r="C102" s="24">
        <v>1000</v>
      </c>
      <c r="D102" s="24" t="s">
        <v>3660</v>
      </c>
      <c r="E102" s="24"/>
      <c r="F102" s="24"/>
      <c r="G102" s="24"/>
      <c r="H102" s="24"/>
      <c r="I102" s="24"/>
      <c r="J102" s="1284"/>
      <c r="K102" s="1284"/>
      <c r="L102" s="1284"/>
      <c r="M102" s="1284"/>
      <c r="N102" s="1284"/>
    </row>
    <row r="103" spans="1:14">
      <c r="A103" s="346"/>
      <c r="B103" s="24" t="s">
        <v>3665</v>
      </c>
      <c r="C103" s="685">
        <f>C96+C102</f>
        <v>3409.2</v>
      </c>
      <c r="D103" s="24" t="s">
        <v>3660</v>
      </c>
      <c r="E103" s="24"/>
      <c r="F103" s="24"/>
      <c r="G103" s="24"/>
      <c r="H103" s="24"/>
      <c r="I103" s="24"/>
      <c r="J103" s="1284"/>
      <c r="K103" s="1284"/>
      <c r="L103" s="1284"/>
      <c r="M103" s="1284"/>
      <c r="N103" s="1284"/>
    </row>
    <row r="104" spans="1:14">
      <c r="A104" s="346"/>
      <c r="B104" s="1283" t="s">
        <v>3664</v>
      </c>
      <c r="C104" s="685">
        <f>C103*$C$84/100*C102/360</f>
        <v>189.4</v>
      </c>
      <c r="D104" s="24" t="s">
        <v>3660</v>
      </c>
      <c r="E104" s="24"/>
      <c r="F104" s="24"/>
      <c r="G104" s="24"/>
      <c r="H104" s="24"/>
      <c r="I104" s="24"/>
      <c r="J104" s="1284"/>
      <c r="K104" s="1284"/>
      <c r="L104" s="1284"/>
      <c r="M104" s="1284"/>
      <c r="N104" s="1284"/>
    </row>
    <row r="105" spans="1:14">
      <c r="A105" s="346"/>
      <c r="B105" s="24"/>
      <c r="C105" s="24"/>
      <c r="D105" s="24"/>
      <c r="E105" s="24"/>
      <c r="F105" s="24"/>
      <c r="G105" s="24"/>
      <c r="H105" s="24"/>
      <c r="I105" s="24"/>
      <c r="J105" s="1284"/>
      <c r="K105" s="1284"/>
      <c r="L105" s="1284"/>
      <c r="M105" s="1284"/>
      <c r="N105" s="1284"/>
    </row>
    <row r="106" spans="1:14">
      <c r="A106" s="346"/>
      <c r="B106" s="1251" t="s">
        <v>3666</v>
      </c>
      <c r="C106" s="1289">
        <v>42891</v>
      </c>
      <c r="D106" s="1251"/>
      <c r="E106" s="24"/>
      <c r="F106" s="24"/>
      <c r="G106" s="24"/>
      <c r="H106" s="24"/>
      <c r="I106" s="24"/>
      <c r="J106" s="1284"/>
      <c r="K106" s="1284"/>
      <c r="L106" s="1284"/>
      <c r="M106" s="1284"/>
      <c r="N106" s="1284"/>
    </row>
    <row r="107" spans="1:14">
      <c r="A107" s="346"/>
      <c r="B107" s="24" t="s">
        <v>3667</v>
      </c>
      <c r="C107" s="1289">
        <v>42916</v>
      </c>
      <c r="D107" s="24"/>
      <c r="E107" s="24"/>
      <c r="F107" s="24"/>
      <c r="G107" s="24"/>
      <c r="H107" s="24"/>
      <c r="I107" s="24"/>
      <c r="J107" s="1284"/>
      <c r="K107" s="1284"/>
      <c r="L107" s="1284"/>
      <c r="M107" s="1284"/>
      <c r="N107" s="1284"/>
    </row>
    <row r="108" spans="1:14">
      <c r="A108" s="346"/>
      <c r="B108" s="24" t="s">
        <v>3661</v>
      </c>
      <c r="C108" s="24">
        <f>DATEDIF(C106,C107+1,"d")</f>
        <v>26</v>
      </c>
      <c r="D108" s="24" t="s">
        <v>3662</v>
      </c>
      <c r="E108" s="24"/>
      <c r="F108" s="24"/>
      <c r="G108" s="24"/>
      <c r="H108" s="24"/>
      <c r="I108" s="24"/>
      <c r="J108" s="1284"/>
      <c r="K108" s="1284"/>
      <c r="L108" s="1284"/>
      <c r="M108" s="1284"/>
      <c r="N108" s="1284"/>
    </row>
    <row r="109" spans="1:14">
      <c r="A109" s="346"/>
      <c r="B109" s="24" t="s">
        <v>3674</v>
      </c>
      <c r="C109" s="24">
        <v>560</v>
      </c>
      <c r="D109" s="24" t="s">
        <v>3660</v>
      </c>
      <c r="E109" s="24"/>
      <c r="F109" s="24"/>
      <c r="G109" s="24"/>
      <c r="H109" s="24"/>
      <c r="I109" s="24"/>
      <c r="J109" s="1284"/>
      <c r="K109" s="1284"/>
      <c r="L109" s="1284"/>
      <c r="M109" s="1284"/>
      <c r="N109" s="1284"/>
    </row>
    <row r="110" spans="1:14">
      <c r="A110" s="346"/>
      <c r="B110" s="24" t="s">
        <v>3665</v>
      </c>
      <c r="C110" s="685">
        <f>C103+C109</f>
        <v>3969.2</v>
      </c>
      <c r="D110" s="24" t="s">
        <v>3660</v>
      </c>
      <c r="E110" s="24"/>
      <c r="F110" s="24"/>
      <c r="G110" s="24"/>
      <c r="H110" s="24"/>
      <c r="I110" s="24"/>
      <c r="J110" s="1284"/>
      <c r="K110" s="1284"/>
      <c r="L110" s="1284"/>
      <c r="M110" s="1284"/>
      <c r="N110" s="1284"/>
    </row>
    <row r="111" spans="1:14">
      <c r="A111" s="346"/>
      <c r="B111" s="1283" t="s">
        <v>3664</v>
      </c>
      <c r="C111" s="685">
        <f>C110*$C$84/100*C109/360</f>
        <v>123.48622222222222</v>
      </c>
      <c r="D111" s="24" t="s">
        <v>3660</v>
      </c>
      <c r="E111" s="24"/>
      <c r="F111" s="24"/>
      <c r="G111" s="24"/>
      <c r="H111" s="24"/>
      <c r="I111" s="24"/>
      <c r="J111" s="1284"/>
      <c r="K111" s="1284"/>
      <c r="L111" s="1284"/>
      <c r="M111" s="1284"/>
      <c r="N111" s="1284"/>
    </row>
    <row r="112" spans="1:14">
      <c r="A112" s="346"/>
      <c r="B112" s="24"/>
      <c r="C112" s="24"/>
      <c r="D112" s="24"/>
      <c r="E112" s="24"/>
      <c r="F112" s="24"/>
      <c r="G112" s="24"/>
      <c r="H112" s="24"/>
      <c r="I112" s="24"/>
      <c r="J112" s="1284"/>
      <c r="K112" s="1284"/>
      <c r="L112" s="1284"/>
      <c r="M112" s="1284"/>
      <c r="N112" s="1284"/>
    </row>
    <row r="113" spans="1:16">
      <c r="A113" s="1282"/>
      <c r="B113" s="1276" t="s">
        <v>3673</v>
      </c>
      <c r="C113" s="685">
        <f>C110+C111</f>
        <v>4092.6862222222221</v>
      </c>
      <c r="D113" s="24" t="s">
        <v>3660</v>
      </c>
      <c r="E113" s="24"/>
      <c r="F113" s="24"/>
      <c r="G113" s="24"/>
      <c r="H113" s="24"/>
      <c r="I113" s="24"/>
      <c r="J113" s="1284"/>
      <c r="K113" s="1284"/>
      <c r="L113" s="1284"/>
      <c r="M113" s="1284"/>
      <c r="N113" s="1284"/>
    </row>
    <row r="114" spans="1:16">
      <c r="A114" s="346"/>
      <c r="B114" s="1276"/>
      <c r="C114" s="24"/>
      <c r="D114" s="24"/>
      <c r="E114" s="24"/>
      <c r="F114" s="24"/>
      <c r="G114" s="24"/>
      <c r="H114" s="24"/>
      <c r="I114" s="24"/>
      <c r="J114" s="1284"/>
      <c r="K114" s="1284"/>
      <c r="L114" s="1284"/>
      <c r="M114" s="1284"/>
      <c r="N114" s="1284"/>
    </row>
    <row r="115" spans="1:16">
      <c r="A115" s="346"/>
      <c r="B115" s="24"/>
      <c r="C115" s="24"/>
      <c r="D115" s="24"/>
      <c r="E115" s="24"/>
      <c r="F115" s="24"/>
      <c r="G115" s="24"/>
      <c r="H115" s="24"/>
      <c r="I115" s="24"/>
      <c r="J115" s="1284"/>
      <c r="K115" s="1284"/>
      <c r="L115" s="1284"/>
      <c r="M115" s="1284"/>
      <c r="N115" s="1284"/>
    </row>
    <row r="116" spans="1:16">
      <c r="A116" s="346">
        <v>6</v>
      </c>
      <c r="B116" s="24" t="s">
        <v>3682</v>
      </c>
      <c r="C116" s="24"/>
      <c r="D116" s="24"/>
      <c r="E116" s="24"/>
      <c r="F116" s="24"/>
      <c r="G116" s="24"/>
      <c r="H116" s="24"/>
      <c r="I116" s="24"/>
      <c r="J116" s="1284"/>
      <c r="K116" s="1284"/>
      <c r="L116" s="1284"/>
      <c r="M116" s="1284"/>
      <c r="N116" s="1284"/>
    </row>
    <row r="117" spans="1:16">
      <c r="A117" s="346"/>
      <c r="B117" s="24" t="s">
        <v>3683</v>
      </c>
      <c r="C117" s="24"/>
      <c r="D117" s="24"/>
      <c r="E117" s="24"/>
      <c r="F117" s="24"/>
      <c r="G117" s="24"/>
      <c r="H117" s="24"/>
      <c r="I117" s="24"/>
      <c r="J117" s="1284"/>
      <c r="K117" s="1284"/>
      <c r="L117" s="1284"/>
      <c r="M117" s="1284"/>
      <c r="N117" s="1284"/>
    </row>
    <row r="118" spans="1:16">
      <c r="A118" s="346"/>
      <c r="B118" s="24"/>
      <c r="C118" s="24"/>
      <c r="D118" s="24"/>
      <c r="E118" s="24"/>
      <c r="F118" s="24"/>
      <c r="G118" s="24"/>
      <c r="H118" s="24"/>
      <c r="I118" s="24"/>
      <c r="J118" s="1284"/>
      <c r="K118" s="1284"/>
      <c r="L118" s="1284"/>
      <c r="M118" s="1284"/>
      <c r="N118" s="1284"/>
    </row>
    <row r="119" spans="1:16">
      <c r="A119" s="346"/>
      <c r="B119" s="24" t="s">
        <v>3665</v>
      </c>
      <c r="C119" s="1291">
        <v>100000</v>
      </c>
      <c r="D119" s="24" t="s">
        <v>3660</v>
      </c>
      <c r="E119" s="24"/>
      <c r="F119" s="24"/>
      <c r="G119" s="24"/>
      <c r="H119" s="24"/>
      <c r="I119" s="24"/>
      <c r="J119" s="1284"/>
      <c r="K119" s="1284"/>
      <c r="L119" s="1284"/>
      <c r="M119" s="1284"/>
      <c r="N119" s="1284"/>
    </row>
    <row r="120" spans="1:16">
      <c r="A120" s="346"/>
      <c r="B120" s="24" t="s">
        <v>3675</v>
      </c>
      <c r="C120" s="1288">
        <v>1</v>
      </c>
      <c r="D120" s="24" t="s">
        <v>3676</v>
      </c>
      <c r="E120" s="24"/>
      <c r="F120" s="24"/>
      <c r="G120" s="24"/>
      <c r="H120" s="24"/>
      <c r="I120" s="24"/>
      <c r="J120" s="1284"/>
      <c r="K120" s="1284"/>
      <c r="L120" s="1284"/>
      <c r="M120" s="1284"/>
      <c r="N120" s="1284"/>
    </row>
    <row r="121" spans="1:16">
      <c r="A121" s="346"/>
      <c r="B121" s="24" t="s">
        <v>3680</v>
      </c>
      <c r="C121" s="1292">
        <v>12</v>
      </c>
      <c r="D121" s="24" t="s">
        <v>372</v>
      </c>
      <c r="E121" s="24"/>
      <c r="F121" s="24"/>
      <c r="G121" s="24"/>
      <c r="H121" s="24"/>
      <c r="I121" s="24"/>
      <c r="J121" s="1284"/>
      <c r="K121" s="1284"/>
      <c r="L121" s="1284"/>
      <c r="M121" s="1284"/>
      <c r="N121" s="1284"/>
    </row>
    <row r="122" spans="1:16">
      <c r="A122" s="346"/>
      <c r="B122" s="24" t="s">
        <v>3679</v>
      </c>
      <c r="C122" s="1288">
        <v>10</v>
      </c>
      <c r="D122" s="24" t="s">
        <v>459</v>
      </c>
      <c r="E122" s="24"/>
      <c r="F122" s="24"/>
      <c r="G122" s="24"/>
      <c r="H122" s="24"/>
      <c r="I122" s="24"/>
      <c r="J122" s="1284"/>
      <c r="K122" s="1284"/>
      <c r="L122" s="1284"/>
      <c r="M122" s="1284"/>
      <c r="N122" s="1284"/>
    </row>
    <row r="123" spans="1:16">
      <c r="A123" s="346"/>
      <c r="B123" s="24"/>
      <c r="C123" s="24"/>
      <c r="D123" s="24"/>
      <c r="E123" s="24"/>
      <c r="F123" s="24"/>
      <c r="G123" s="24"/>
      <c r="H123" s="24"/>
      <c r="I123" s="24"/>
      <c r="J123" s="1284"/>
      <c r="K123" s="1284"/>
      <c r="L123" s="1284"/>
      <c r="M123" s="1284"/>
      <c r="N123" s="1284"/>
    </row>
    <row r="124" spans="1:16">
      <c r="A124" s="37" t="s">
        <v>389</v>
      </c>
      <c r="B124" s="24" t="s">
        <v>3681</v>
      </c>
      <c r="C124" s="1294">
        <f>C122/C121</f>
        <v>0.83333333333333337</v>
      </c>
      <c r="D124" s="24" t="s">
        <v>459</v>
      </c>
      <c r="E124" s="24"/>
      <c r="F124" s="24"/>
      <c r="G124" s="24"/>
      <c r="H124" s="24"/>
      <c r="I124" s="24"/>
      <c r="J124" s="1284"/>
      <c r="K124" s="1284"/>
      <c r="L124" s="1284"/>
      <c r="M124" s="1284"/>
      <c r="N124" s="1284"/>
    </row>
    <row r="125" spans="1:16">
      <c r="B125" s="24" t="s">
        <v>3684</v>
      </c>
      <c r="C125" s="1293">
        <f>C119*(1+C124/100)^(C120*C121)</f>
        <v>110471.30674412969</v>
      </c>
      <c r="D125" s="24" t="s">
        <v>3660</v>
      </c>
      <c r="E125" s="62" t="s">
        <v>3685</v>
      </c>
      <c r="F125" s="37"/>
      <c r="G125" s="24"/>
      <c r="H125" s="24"/>
      <c r="I125" s="24"/>
      <c r="J125" s="1284"/>
      <c r="K125" s="1284"/>
      <c r="L125" s="1284"/>
      <c r="M125" s="1284"/>
      <c r="N125" s="1284"/>
    </row>
    <row r="126" spans="1:16">
      <c r="A126" s="346"/>
      <c r="B126" s="24"/>
      <c r="C126" s="1294"/>
      <c r="E126" s="24"/>
      <c r="F126" s="37"/>
      <c r="G126" s="24"/>
      <c r="H126" s="24"/>
      <c r="I126" s="24"/>
      <c r="J126" s="1284"/>
      <c r="K126" s="1284"/>
      <c r="L126" s="1284"/>
      <c r="M126" s="1284"/>
      <c r="N126" s="1284"/>
    </row>
    <row r="127" spans="1:16">
      <c r="A127" s="37" t="s">
        <v>391</v>
      </c>
      <c r="B127" s="24" t="s">
        <v>3684</v>
      </c>
      <c r="C127" s="1293">
        <f>C119*(1+C122/100)^C120</f>
        <v>110000.00000000001</v>
      </c>
      <c r="D127" s="24" t="s">
        <v>3660</v>
      </c>
      <c r="E127" s="24"/>
      <c r="F127" s="37"/>
      <c r="G127" s="24"/>
      <c r="H127" s="24"/>
      <c r="I127" s="24"/>
      <c r="J127" s="1284"/>
      <c r="K127" s="1284"/>
      <c r="L127" s="1284"/>
      <c r="M127" s="1284"/>
      <c r="N127" s="1284"/>
      <c r="P127" s="1283"/>
    </row>
    <row r="128" spans="1:16">
      <c r="A128" s="346"/>
      <c r="C128" s="24"/>
      <c r="D128" s="24"/>
      <c r="E128" s="24"/>
      <c r="F128" s="24"/>
      <c r="G128" s="24"/>
      <c r="H128" s="24"/>
      <c r="I128" s="24"/>
      <c r="J128" s="1284"/>
      <c r="K128" s="1284"/>
      <c r="L128" s="1284"/>
      <c r="M128" s="1284"/>
      <c r="N128" s="1284"/>
    </row>
    <row r="129" spans="1:14">
      <c r="A129" s="346"/>
      <c r="B129" s="24"/>
      <c r="C129" s="24"/>
      <c r="D129" s="24"/>
      <c r="E129" s="24"/>
      <c r="F129" s="24"/>
      <c r="G129"/>
      <c r="H129" s="24"/>
      <c r="I129" s="24"/>
      <c r="J129" s="1284"/>
      <c r="K129" s="1284"/>
      <c r="L129" s="1284"/>
      <c r="M129" s="1284"/>
      <c r="N129" s="1284"/>
    </row>
    <row r="130" spans="1:14">
      <c r="A130" s="346"/>
      <c r="B130" s="24"/>
      <c r="C130" s="1293"/>
      <c r="D130" s="24"/>
      <c r="E130" s="1293"/>
      <c r="F130" s="24"/>
      <c r="G130" s="24"/>
      <c r="H130" s="24"/>
      <c r="I130" s="24"/>
      <c r="J130" s="1284"/>
      <c r="K130" s="1284"/>
      <c r="L130" s="1284"/>
      <c r="M130" s="1284"/>
      <c r="N130" s="1284"/>
    </row>
    <row r="131" spans="1:14">
      <c r="A131" s="346">
        <v>7</v>
      </c>
      <c r="B131" s="24" t="s">
        <v>3644</v>
      </c>
      <c r="C131" s="1293"/>
      <c r="D131" s="24"/>
      <c r="E131" s="24"/>
      <c r="F131" s="24"/>
      <c r="G131" s="24"/>
      <c r="H131" s="24"/>
      <c r="I131" s="24"/>
      <c r="J131" s="1284"/>
      <c r="K131" s="1284"/>
      <c r="L131" s="1284"/>
      <c r="M131" s="1284"/>
      <c r="N131" s="1284"/>
    </row>
    <row r="132" spans="1:14">
      <c r="A132" s="346"/>
      <c r="B132" s="24" t="s">
        <v>3677</v>
      </c>
      <c r="C132" s="24"/>
      <c r="D132" s="24"/>
      <c r="E132" s="24"/>
      <c r="F132" s="24"/>
      <c r="G132" s="24"/>
      <c r="H132" s="24"/>
      <c r="I132" s="24"/>
      <c r="J132" s="1284"/>
      <c r="K132" s="1284"/>
      <c r="L132" s="1284"/>
      <c r="M132" s="1284"/>
      <c r="N132" s="1284"/>
    </row>
    <row r="133" spans="1:14">
      <c r="A133" s="346"/>
      <c r="B133" s="24"/>
      <c r="C133" s="24"/>
      <c r="D133" s="24"/>
      <c r="E133" s="24"/>
      <c r="F133" s="24"/>
      <c r="G133" s="24"/>
      <c r="H133" s="24"/>
      <c r="I133" s="24"/>
      <c r="J133" s="1284"/>
      <c r="K133" s="1284"/>
      <c r="L133" s="1284"/>
      <c r="M133" s="1284"/>
      <c r="N133" s="1284"/>
    </row>
    <row r="134" spans="1:14">
      <c r="A134" s="346"/>
      <c r="B134" s="24" t="s">
        <v>3665</v>
      </c>
      <c r="C134" s="1291">
        <v>14500</v>
      </c>
      <c r="D134" s="24" t="s">
        <v>3660</v>
      </c>
      <c r="E134" s="24"/>
      <c r="F134" s="24"/>
      <c r="G134" s="24"/>
      <c r="H134" s="24"/>
      <c r="I134" s="24"/>
      <c r="J134" s="1284"/>
      <c r="K134" s="1284"/>
      <c r="L134" s="1284"/>
      <c r="M134" s="1284"/>
      <c r="N134" s="1284"/>
    </row>
    <row r="135" spans="1:14">
      <c r="A135" s="346"/>
      <c r="B135" s="24" t="s">
        <v>3679</v>
      </c>
      <c r="C135" s="1288">
        <v>7</v>
      </c>
      <c r="D135" s="24" t="s">
        <v>459</v>
      </c>
      <c r="E135" s="24"/>
      <c r="F135" s="24"/>
      <c r="G135" s="24"/>
      <c r="H135" s="24"/>
      <c r="I135" s="24"/>
      <c r="J135" s="1284"/>
      <c r="K135" s="1284"/>
      <c r="L135" s="1284"/>
      <c r="M135" s="1284"/>
      <c r="N135" s="1284"/>
    </row>
    <row r="136" spans="1:14">
      <c r="A136" s="346"/>
      <c r="B136" s="24" t="s">
        <v>3692</v>
      </c>
      <c r="C136" s="1288">
        <v>4</v>
      </c>
      <c r="D136" s="24" t="s">
        <v>459</v>
      </c>
      <c r="E136" s="24"/>
      <c r="F136" s="24"/>
      <c r="G136" s="24"/>
      <c r="H136" s="24"/>
      <c r="I136" s="24"/>
      <c r="J136" s="1284"/>
      <c r="K136" s="1284"/>
      <c r="L136" s="1284"/>
      <c r="M136" s="1284"/>
      <c r="N136" s="1284"/>
    </row>
    <row r="137" spans="1:14">
      <c r="A137" s="346"/>
      <c r="B137" s="24"/>
      <c r="C137" s="24"/>
      <c r="D137" s="24"/>
      <c r="E137" s="24"/>
      <c r="F137" s="24"/>
      <c r="G137" s="24"/>
      <c r="H137" s="24"/>
      <c r="I137" s="24"/>
      <c r="J137" s="1284"/>
      <c r="K137" s="1284"/>
      <c r="L137" s="1284"/>
      <c r="M137" s="1284"/>
      <c r="N137" s="1284"/>
    </row>
    <row r="138" spans="1:14">
      <c r="A138" s="346"/>
      <c r="B138" s="65" t="s">
        <v>3690</v>
      </c>
      <c r="C138" s="1293"/>
      <c r="D138" s="24"/>
      <c r="E138" s="62"/>
      <c r="F138" s="24"/>
      <c r="G138" s="24"/>
      <c r="H138" s="24"/>
      <c r="I138" s="24"/>
      <c r="J138" s="1284"/>
      <c r="K138" s="1284"/>
      <c r="L138" s="1284"/>
      <c r="M138" s="1284"/>
      <c r="N138" s="1284"/>
    </row>
    <row r="139" spans="1:14">
      <c r="A139" s="346"/>
      <c r="B139" s="24"/>
      <c r="C139" s="24"/>
      <c r="D139" s="24"/>
      <c r="E139" s="24"/>
      <c r="F139" s="24"/>
      <c r="G139" s="24"/>
      <c r="H139" s="24"/>
      <c r="I139" s="24"/>
      <c r="J139" s="1284"/>
      <c r="K139" s="1284"/>
      <c r="L139" s="1284"/>
      <c r="M139" s="1284"/>
      <c r="N139" s="1284"/>
    </row>
    <row r="140" spans="1:14">
      <c r="A140" s="346"/>
      <c r="B140" s="37" t="s">
        <v>3686</v>
      </c>
      <c r="C140" s="1283"/>
      <c r="D140" s="346" t="s">
        <v>3687</v>
      </c>
      <c r="E140" s="346" t="s">
        <v>3688</v>
      </c>
      <c r="F140" s="346" t="s">
        <v>3664</v>
      </c>
      <c r="G140" s="346" t="s">
        <v>3678</v>
      </c>
      <c r="H140" s="62" t="s">
        <v>3689</v>
      </c>
      <c r="I140" s="24"/>
      <c r="J140" s="1284"/>
      <c r="K140" s="1284"/>
      <c r="L140" s="1284"/>
      <c r="M140" s="1284"/>
      <c r="N140" s="1284"/>
    </row>
    <row r="141" spans="1:14">
      <c r="A141" s="346"/>
      <c r="B141" s="32"/>
      <c r="C141" s="32"/>
      <c r="D141" s="32"/>
      <c r="E141" s="32"/>
      <c r="F141" s="32"/>
      <c r="G141" s="32"/>
      <c r="H141" s="32"/>
      <c r="I141" s="24"/>
      <c r="J141" s="1284"/>
      <c r="K141" s="1284"/>
      <c r="L141" s="1284"/>
      <c r="M141" s="1284"/>
      <c r="N141" s="1284"/>
    </row>
    <row r="142" spans="1:14">
      <c r="A142" s="346"/>
      <c r="B142" s="32">
        <v>1</v>
      </c>
      <c r="C142" s="953" t="s">
        <v>3633</v>
      </c>
      <c r="D142" s="1295">
        <f>C134</f>
        <v>14500</v>
      </c>
      <c r="E142" s="1295">
        <f>F142+G142</f>
        <v>132.91666666666666</v>
      </c>
      <c r="F142" s="1295">
        <f>D142*$C$135/100/12</f>
        <v>84.583333333333329</v>
      </c>
      <c r="G142" s="1295">
        <f>D142*$C$136/100/12</f>
        <v>48.333333333333336</v>
      </c>
      <c r="H142" s="1295">
        <f>D142-G142</f>
        <v>14451.666666666666</v>
      </c>
      <c r="I142" s="24"/>
      <c r="J142" s="1284"/>
      <c r="K142" s="1284"/>
      <c r="L142" s="1284"/>
      <c r="M142" s="1284"/>
      <c r="N142" s="1284"/>
    </row>
    <row r="143" spans="1:14">
      <c r="A143" s="346"/>
      <c r="B143" s="32">
        <v>2</v>
      </c>
      <c r="C143" s="953" t="s">
        <v>3622</v>
      </c>
      <c r="D143" s="1295">
        <f>H142</f>
        <v>14451.666666666666</v>
      </c>
      <c r="E143" s="1295">
        <f>E142</f>
        <v>132.91666666666666</v>
      </c>
      <c r="F143" s="1295">
        <f t="shared" ref="F143:F147" si="0">D143*$C$135/100/12</f>
        <v>84.30138888888888</v>
      </c>
      <c r="G143" s="1295">
        <f>E143-F143</f>
        <v>48.615277777777777</v>
      </c>
      <c r="H143" s="1295">
        <f t="shared" ref="H143:H147" si="1">D143-G143</f>
        <v>14403.051388888889</v>
      </c>
      <c r="I143" s="24"/>
      <c r="J143" s="1284"/>
      <c r="K143" s="1284"/>
      <c r="L143" s="1284"/>
      <c r="M143" s="1284"/>
      <c r="N143" s="1284"/>
    </row>
    <row r="144" spans="1:14">
      <c r="A144" s="346"/>
      <c r="B144" s="32">
        <v>3</v>
      </c>
      <c r="C144" s="953" t="s">
        <v>3623</v>
      </c>
      <c r="D144" s="1295">
        <f t="shared" ref="D144:D147" si="2">H143</f>
        <v>14403.051388888889</v>
      </c>
      <c r="E144" s="1295">
        <f t="shared" ref="E144:E147" si="3">E143</f>
        <v>132.91666666666666</v>
      </c>
      <c r="F144" s="1295">
        <f t="shared" si="0"/>
        <v>84.017799768518529</v>
      </c>
      <c r="G144" s="1295">
        <f t="shared" ref="G144:G147" si="4">E144-F144</f>
        <v>48.898866898148128</v>
      </c>
      <c r="H144" s="1295">
        <f t="shared" si="1"/>
        <v>14354.152521990742</v>
      </c>
      <c r="I144" s="24"/>
      <c r="J144" s="1284"/>
      <c r="K144" s="1284"/>
      <c r="L144" s="1284"/>
      <c r="M144" s="1284"/>
      <c r="N144" s="1284"/>
    </row>
    <row r="145" spans="1:14">
      <c r="A145" s="346"/>
      <c r="B145" s="32">
        <v>4</v>
      </c>
      <c r="C145" s="953" t="s">
        <v>3624</v>
      </c>
      <c r="D145" s="1295">
        <f t="shared" si="2"/>
        <v>14354.152521990742</v>
      </c>
      <c r="E145" s="1295">
        <f t="shared" si="3"/>
        <v>132.91666666666666</v>
      </c>
      <c r="F145" s="1295">
        <f t="shared" si="0"/>
        <v>83.732556378279341</v>
      </c>
      <c r="G145" s="1295">
        <f t="shared" si="4"/>
        <v>49.184110288387316</v>
      </c>
      <c r="H145" s="1295">
        <f t="shared" si="1"/>
        <v>14304.968411702353</v>
      </c>
      <c r="I145" s="24"/>
      <c r="J145" s="1284"/>
      <c r="K145" s="1284"/>
      <c r="L145" s="1284"/>
      <c r="M145" s="1284"/>
      <c r="N145" s="1284"/>
    </row>
    <row r="146" spans="1:14">
      <c r="A146" s="346"/>
      <c r="B146" s="32">
        <v>5</v>
      </c>
      <c r="C146" s="953" t="s">
        <v>3625</v>
      </c>
      <c r="D146" s="1295">
        <f t="shared" si="2"/>
        <v>14304.968411702353</v>
      </c>
      <c r="E146" s="1295">
        <f t="shared" si="3"/>
        <v>132.91666666666666</v>
      </c>
      <c r="F146" s="1295">
        <f t="shared" si="0"/>
        <v>83.445649068263734</v>
      </c>
      <c r="G146" s="1295">
        <f t="shared" si="4"/>
        <v>49.471017598402923</v>
      </c>
      <c r="H146" s="1295">
        <f t="shared" si="1"/>
        <v>14255.49739410395</v>
      </c>
      <c r="I146" s="24"/>
      <c r="J146" s="1284"/>
      <c r="K146" s="1284"/>
      <c r="L146" s="1284"/>
      <c r="M146" s="1284"/>
      <c r="N146" s="1284"/>
    </row>
    <row r="147" spans="1:14">
      <c r="A147" s="346"/>
      <c r="B147" s="32">
        <v>6</v>
      </c>
      <c r="C147" s="953" t="s">
        <v>3626</v>
      </c>
      <c r="D147" s="1295">
        <f t="shared" si="2"/>
        <v>14255.49739410395</v>
      </c>
      <c r="E147" s="1295">
        <f t="shared" si="3"/>
        <v>132.91666666666666</v>
      </c>
      <c r="F147" s="1295">
        <f t="shared" si="0"/>
        <v>83.157068132273039</v>
      </c>
      <c r="G147" s="1295">
        <f t="shared" si="4"/>
        <v>49.759598534393618</v>
      </c>
      <c r="H147" s="1295">
        <f t="shared" si="1"/>
        <v>14205.737795569556</v>
      </c>
      <c r="I147" s="24"/>
      <c r="J147" s="1284"/>
      <c r="K147" s="1284"/>
      <c r="L147" s="1284"/>
      <c r="M147" s="1284"/>
      <c r="N147" s="1284"/>
    </row>
    <row r="148" spans="1:14">
      <c r="A148" s="346"/>
      <c r="B148" s="32"/>
      <c r="C148" s="32"/>
      <c r="D148" s="32"/>
      <c r="E148" s="32"/>
      <c r="F148" s="32"/>
      <c r="G148" s="32"/>
      <c r="H148" s="32"/>
      <c r="I148" s="24"/>
      <c r="J148" s="1284"/>
      <c r="K148" s="1284"/>
      <c r="L148" s="1284"/>
      <c r="M148" s="1284"/>
      <c r="N148" s="1284"/>
    </row>
    <row r="149" spans="1:14">
      <c r="A149" s="346"/>
      <c r="B149" s="37" t="s">
        <v>3691</v>
      </c>
      <c r="C149" s="24"/>
      <c r="D149" s="24"/>
      <c r="E149" s="1296">
        <f>SUM(E142:E147)</f>
        <v>797.49999999999989</v>
      </c>
      <c r="F149" s="1296">
        <f>SUM(F142:F147)</f>
        <v>503.23779556955679</v>
      </c>
      <c r="G149" s="1296">
        <f>SUM(G142:G147)</f>
        <v>294.26220443044309</v>
      </c>
      <c r="H149" s="24"/>
      <c r="I149" s="24"/>
      <c r="J149" s="1284"/>
      <c r="K149" s="1284"/>
      <c r="L149" s="1284"/>
      <c r="M149" s="1284"/>
      <c r="N149" s="1284"/>
    </row>
    <row r="150" spans="1:14">
      <c r="A150" s="346"/>
      <c r="B150" s="24"/>
      <c r="C150" s="24"/>
      <c r="D150" s="24"/>
      <c r="E150" s="24"/>
      <c r="F150" s="24"/>
      <c r="G150" s="24"/>
      <c r="H150" s="24"/>
      <c r="I150" s="24"/>
      <c r="J150" s="1284"/>
      <c r="K150" s="1284"/>
      <c r="L150" s="1284"/>
      <c r="M150" s="1284"/>
      <c r="N150" s="1284"/>
    </row>
    <row r="151" spans="1:14">
      <c r="A151" s="346"/>
      <c r="B151" s="24"/>
      <c r="C151" s="24"/>
      <c r="D151" s="24"/>
      <c r="E151" s="24"/>
      <c r="F151" s="24"/>
      <c r="G151" s="24"/>
      <c r="H151" s="24"/>
      <c r="I151" s="24"/>
      <c r="J151" s="1284"/>
      <c r="K151" s="1284"/>
      <c r="L151" s="1284"/>
      <c r="M151" s="1284"/>
      <c r="N151" s="1284"/>
    </row>
    <row r="152" spans="1:14">
      <c r="A152" s="346"/>
      <c r="B152" s="24"/>
      <c r="C152" s="24"/>
      <c r="D152" s="24"/>
      <c r="E152" s="24"/>
      <c r="F152" s="24"/>
      <c r="G152" s="24"/>
      <c r="H152" s="24"/>
      <c r="I152" s="24"/>
      <c r="J152" s="1284"/>
      <c r="K152" s="1284"/>
      <c r="L152" s="1284"/>
      <c r="M152" s="1284"/>
      <c r="N152" s="1284"/>
    </row>
    <row r="153" spans="1:14">
      <c r="A153" s="346">
        <v>8</v>
      </c>
      <c r="B153" s="24" t="s">
        <v>3698</v>
      </c>
      <c r="C153" s="24"/>
      <c r="D153" s="24"/>
      <c r="E153" s="24"/>
      <c r="F153" s="24"/>
      <c r="G153" s="24"/>
      <c r="H153" s="24"/>
      <c r="I153" s="24"/>
      <c r="J153" s="1284"/>
      <c r="K153" s="1284"/>
      <c r="L153" s="1284"/>
      <c r="M153" s="1284"/>
      <c r="N153" s="1284"/>
    </row>
    <row r="154" spans="1:14">
      <c r="A154" s="346"/>
      <c r="B154" s="24" t="s">
        <v>3699</v>
      </c>
      <c r="C154" s="24"/>
      <c r="D154" s="24"/>
      <c r="E154" s="24"/>
      <c r="F154" s="24"/>
      <c r="G154" s="24"/>
      <c r="H154" s="24"/>
      <c r="I154" s="24"/>
      <c r="J154" s="1284"/>
      <c r="K154" s="1284"/>
      <c r="L154" s="1284"/>
      <c r="M154" s="1284"/>
      <c r="N154" s="1284"/>
    </row>
    <row r="155" spans="1:14">
      <c r="A155" s="346"/>
      <c r="B155" s="24"/>
      <c r="C155" s="24"/>
      <c r="D155" s="24"/>
      <c r="E155" s="24"/>
      <c r="F155" s="24"/>
      <c r="G155" s="24"/>
      <c r="H155" s="24"/>
      <c r="I155" s="24"/>
      <c r="J155" s="1284"/>
      <c r="K155" s="1284"/>
      <c r="L155" s="1284"/>
      <c r="M155" s="1284"/>
      <c r="N155" s="1284"/>
    </row>
    <row r="156" spans="1:14">
      <c r="A156" s="346"/>
      <c r="B156" s="37" t="s">
        <v>3679</v>
      </c>
      <c r="C156" s="1288">
        <v>4</v>
      </c>
      <c r="D156" s="24" t="s">
        <v>459</v>
      </c>
      <c r="E156" s="24"/>
      <c r="F156" s="24"/>
      <c r="G156" s="24"/>
      <c r="H156" s="24"/>
      <c r="I156" s="24"/>
      <c r="J156" s="1284"/>
      <c r="K156" s="1284"/>
      <c r="L156" s="1284"/>
      <c r="M156" s="1284"/>
      <c r="N156" s="1284"/>
    </row>
    <row r="157" spans="1:14">
      <c r="A157" s="346"/>
      <c r="B157" s="37" t="s">
        <v>3702</v>
      </c>
      <c r="C157" s="1292">
        <v>63</v>
      </c>
      <c r="D157" s="24" t="s">
        <v>3693</v>
      </c>
      <c r="E157" s="24"/>
      <c r="F157" s="24"/>
      <c r="G157" s="24"/>
      <c r="H157" s="24"/>
      <c r="I157" s="24"/>
      <c r="J157" s="1284"/>
      <c r="K157" s="1284"/>
      <c r="L157" s="1284"/>
      <c r="M157" s="1284"/>
      <c r="N157" s="1284"/>
    </row>
    <row r="158" spans="1:14">
      <c r="A158" s="346"/>
      <c r="B158" s="37" t="s">
        <v>3696</v>
      </c>
      <c r="C158" s="1291">
        <v>50000</v>
      </c>
      <c r="D158" s="24" t="s">
        <v>3660</v>
      </c>
      <c r="E158" s="24"/>
      <c r="F158" s="24"/>
      <c r="G158" s="24"/>
      <c r="H158" s="24"/>
      <c r="I158" s="24"/>
      <c r="J158" s="1284"/>
      <c r="K158" s="1284"/>
      <c r="L158" s="1284"/>
      <c r="M158" s="1284"/>
      <c r="N158" s="1284"/>
    </row>
    <row r="159" spans="1:14">
      <c r="A159" s="346"/>
      <c r="B159" s="37" t="s">
        <v>3701</v>
      </c>
      <c r="C159" s="1291">
        <v>0</v>
      </c>
      <c r="D159" s="24" t="s">
        <v>3660</v>
      </c>
      <c r="E159" s="24"/>
      <c r="F159" s="24"/>
      <c r="G159" s="24"/>
      <c r="H159" s="24"/>
      <c r="I159" s="24"/>
      <c r="J159" s="1284"/>
      <c r="K159" s="1284"/>
      <c r="L159" s="1284"/>
      <c r="M159" s="1284"/>
      <c r="N159" s="1284"/>
    </row>
    <row r="160" spans="1:14" ht="15">
      <c r="A160" s="346"/>
      <c r="B160" s="37" t="s">
        <v>3703</v>
      </c>
      <c r="C160" s="1292">
        <v>0</v>
      </c>
      <c r="D160" s="1299" t="s">
        <v>3705</v>
      </c>
      <c r="E160" s="24"/>
      <c r="F160" s="24"/>
      <c r="G160" s="24"/>
      <c r="H160" s="24"/>
      <c r="I160" s="24"/>
      <c r="J160" s="1284"/>
      <c r="K160" s="1284"/>
      <c r="L160" s="1284"/>
      <c r="M160" s="1284"/>
      <c r="N160" s="1284"/>
    </row>
    <row r="161" spans="1:14">
      <c r="A161" s="346"/>
      <c r="B161" s="1276"/>
      <c r="C161" s="1277"/>
      <c r="D161" s="1275"/>
      <c r="F161" s="24"/>
      <c r="G161" s="24"/>
      <c r="H161" s="24"/>
      <c r="I161" s="24"/>
      <c r="J161" s="1284"/>
      <c r="K161" s="1284"/>
      <c r="L161" s="1284"/>
      <c r="M161" s="1284"/>
      <c r="N161" s="1284"/>
    </row>
    <row r="162" spans="1:14">
      <c r="A162" s="346"/>
      <c r="B162" s="37" t="s">
        <v>3694</v>
      </c>
      <c r="C162" s="1298">
        <f>C156/12</f>
        <v>0.33333333333333331</v>
      </c>
      <c r="D162" s="24" t="s">
        <v>459</v>
      </c>
      <c r="E162" s="24"/>
      <c r="F162" s="24"/>
      <c r="G162" s="24"/>
      <c r="H162" s="24"/>
      <c r="I162" s="24"/>
      <c r="J162" s="1284"/>
      <c r="K162" s="1284"/>
      <c r="L162" s="1284"/>
      <c r="M162" s="1284"/>
      <c r="N162" s="1284"/>
    </row>
    <row r="163" spans="1:14">
      <c r="A163" s="346"/>
      <c r="B163" s="37" t="s">
        <v>3695</v>
      </c>
      <c r="C163" s="1297">
        <f>PMT(C162/100,C157,C158,0,C160)</f>
        <v>-881.21583015536055</v>
      </c>
      <c r="D163" s="24" t="s">
        <v>3660</v>
      </c>
      <c r="E163" s="24" t="s">
        <v>3697</v>
      </c>
      <c r="F163" s="24"/>
      <c r="G163" s="24"/>
      <c r="H163" s="24"/>
      <c r="I163" s="24"/>
      <c r="J163" s="1284"/>
      <c r="K163" s="1284"/>
      <c r="L163" s="1284"/>
      <c r="M163" s="1284"/>
      <c r="N163" s="1284"/>
    </row>
    <row r="164" spans="1:14">
      <c r="A164" s="346"/>
      <c r="B164" s="24"/>
      <c r="C164" s="24"/>
      <c r="D164" s="24"/>
      <c r="E164" s="24"/>
      <c r="F164" s="24"/>
      <c r="G164" s="24"/>
      <c r="H164" s="24"/>
      <c r="I164" s="24"/>
      <c r="J164" s="1284"/>
      <c r="K164" s="1284"/>
      <c r="L164" s="1284"/>
      <c r="M164" s="1284"/>
      <c r="N164" s="1284"/>
    </row>
    <row r="165" spans="1:14">
      <c r="A165" s="346"/>
      <c r="B165" s="1276"/>
      <c r="C165" s="1277"/>
      <c r="D165" s="1275"/>
      <c r="E165" s="24"/>
      <c r="F165" s="24"/>
      <c r="G165" s="24"/>
      <c r="H165" s="24"/>
      <c r="I165" s="24"/>
      <c r="J165" s="1284"/>
      <c r="K165" s="1284"/>
      <c r="L165" s="1284"/>
      <c r="M165" s="1284"/>
      <c r="N165" s="1284"/>
    </row>
    <row r="166" spans="1:14">
      <c r="A166" s="346"/>
      <c r="B166" s="24"/>
      <c r="C166" s="24"/>
      <c r="D166" s="24"/>
      <c r="E166" s="24"/>
      <c r="F166" s="24"/>
      <c r="G166" s="24"/>
      <c r="H166" s="24"/>
      <c r="I166" s="24"/>
      <c r="J166" s="1284"/>
      <c r="K166" s="1284"/>
      <c r="L166" s="1284"/>
      <c r="M166" s="1284"/>
      <c r="N166" s="1284"/>
    </row>
    <row r="167" spans="1:14">
      <c r="A167" s="346">
        <v>9</v>
      </c>
      <c r="B167" s="24" t="s">
        <v>3651</v>
      </c>
      <c r="C167" s="24"/>
      <c r="D167" s="24"/>
      <c r="E167" s="24"/>
      <c r="F167" s="24"/>
      <c r="G167" s="24"/>
      <c r="H167" s="24"/>
      <c r="I167" s="24"/>
      <c r="J167" s="1284"/>
      <c r="K167" s="1284"/>
      <c r="L167" s="1284"/>
      <c r="M167" s="1284"/>
      <c r="N167" s="1284"/>
    </row>
    <row r="168" spans="1:14">
      <c r="A168" s="1282"/>
      <c r="B168" s="24"/>
      <c r="C168" s="24"/>
      <c r="D168" s="24"/>
      <c r="E168" s="24"/>
      <c r="F168" s="24"/>
      <c r="G168" s="24"/>
      <c r="H168" s="24"/>
      <c r="I168" s="24"/>
      <c r="J168" s="1284"/>
      <c r="K168" s="1284"/>
      <c r="L168" s="1284"/>
      <c r="M168" s="1284"/>
      <c r="N168" s="1284"/>
    </row>
    <row r="169" spans="1:14">
      <c r="A169" s="1282"/>
      <c r="B169" s="37" t="s">
        <v>3702</v>
      </c>
      <c r="C169" s="1292">
        <v>48</v>
      </c>
      <c r="D169" s="24" t="s">
        <v>3693</v>
      </c>
      <c r="E169" s="24"/>
      <c r="F169" s="24"/>
      <c r="G169" s="24"/>
      <c r="H169" s="24"/>
      <c r="I169" s="24"/>
      <c r="J169" s="1284"/>
      <c r="K169" s="1284"/>
      <c r="L169" s="1284"/>
      <c r="M169" s="1284"/>
      <c r="N169" s="1284"/>
    </row>
    <row r="170" spans="1:14">
      <c r="A170" s="1282"/>
      <c r="B170" s="37" t="s">
        <v>3718</v>
      </c>
      <c r="C170" s="1288">
        <v>-200</v>
      </c>
      <c r="D170" s="24" t="s">
        <v>3660</v>
      </c>
      <c r="E170" s="65" t="s">
        <v>3727</v>
      </c>
      <c r="F170" s="24"/>
      <c r="G170" s="24"/>
      <c r="H170" s="24"/>
      <c r="I170" s="24"/>
      <c r="J170" s="1284"/>
      <c r="K170" s="1284"/>
      <c r="L170" s="1284"/>
      <c r="M170" s="1284"/>
      <c r="N170" s="1284"/>
    </row>
    <row r="171" spans="1:14">
      <c r="A171" s="1282"/>
      <c r="B171" s="37" t="s">
        <v>3696</v>
      </c>
      <c r="C171" s="1288">
        <v>8000</v>
      </c>
      <c r="D171" s="24" t="s">
        <v>3660</v>
      </c>
      <c r="E171" s="24"/>
      <c r="F171" s="24"/>
      <c r="G171" s="24"/>
      <c r="H171" s="24"/>
      <c r="I171" s="24"/>
      <c r="J171" s="1284"/>
      <c r="K171" s="1284"/>
      <c r="L171" s="1284"/>
      <c r="M171" s="1284"/>
      <c r="N171" s="1284"/>
    </row>
    <row r="172" spans="1:14">
      <c r="A172" s="1282"/>
      <c r="B172" s="37" t="s">
        <v>3701</v>
      </c>
      <c r="C172" s="1288">
        <v>0</v>
      </c>
      <c r="D172" s="24" t="s">
        <v>3660</v>
      </c>
      <c r="E172" s="1283"/>
      <c r="F172" s="24"/>
      <c r="G172" s="24"/>
      <c r="H172" s="24"/>
      <c r="I172" s="24"/>
      <c r="J172" s="1284"/>
      <c r="K172" s="1284"/>
      <c r="L172" s="1284"/>
      <c r="M172" s="1284"/>
      <c r="N172" s="1284"/>
    </row>
    <row r="173" spans="1:14" ht="15">
      <c r="A173" s="1282"/>
      <c r="B173" s="37" t="s">
        <v>3703</v>
      </c>
      <c r="C173" s="1292">
        <v>0</v>
      </c>
      <c r="D173" s="24"/>
      <c r="E173" s="1299" t="s">
        <v>3704</v>
      </c>
      <c r="F173" s="24"/>
      <c r="G173" s="24"/>
      <c r="H173" s="24"/>
      <c r="I173" s="24"/>
      <c r="J173" s="1284"/>
      <c r="K173" s="1284"/>
      <c r="L173" s="1284"/>
      <c r="M173" s="1284"/>
      <c r="N173" s="1284"/>
    </row>
    <row r="174" spans="1:14">
      <c r="A174" s="1282"/>
      <c r="B174" s="37" t="s">
        <v>3706</v>
      </c>
      <c r="C174" s="1300">
        <v>7.4999999999999997E-2</v>
      </c>
      <c r="D174" s="24"/>
      <c r="E174" s="24" t="s">
        <v>3711</v>
      </c>
      <c r="F174" s="24"/>
      <c r="G174" s="24"/>
      <c r="H174" s="24"/>
      <c r="I174" s="24"/>
      <c r="J174" s="1284"/>
      <c r="K174" s="1284"/>
      <c r="L174" s="1284"/>
      <c r="M174" s="1284"/>
      <c r="N174" s="1284"/>
    </row>
    <row r="175" spans="1:14">
      <c r="A175" s="1282"/>
      <c r="B175" s="1251"/>
      <c r="C175" s="1283"/>
      <c r="D175" s="1283"/>
      <c r="E175" s="1283"/>
      <c r="F175" s="24"/>
      <c r="G175" s="24"/>
      <c r="H175" s="24"/>
      <c r="I175" s="24"/>
      <c r="J175" s="1284"/>
      <c r="K175" s="1284"/>
      <c r="L175" s="1284"/>
      <c r="M175" s="1284"/>
      <c r="N175" s="1284"/>
    </row>
    <row r="176" spans="1:14">
      <c r="A176" s="1282"/>
      <c r="B176" s="37" t="s">
        <v>3707</v>
      </c>
      <c r="C176" s="1301">
        <f>RATE(C169,C170,C171,C172,C173,C174)</f>
        <v>7.7014724882112614E-3</v>
      </c>
      <c r="D176" s="24"/>
      <c r="E176" s="24" t="s">
        <v>3700</v>
      </c>
      <c r="F176" s="24"/>
      <c r="G176" s="24"/>
      <c r="H176" s="24"/>
      <c r="I176" s="24"/>
      <c r="J176" s="1284"/>
      <c r="K176" s="1284"/>
      <c r="L176" s="1284"/>
      <c r="M176" s="1284"/>
      <c r="N176" s="1284"/>
    </row>
    <row r="177" spans="1:14">
      <c r="A177" s="346"/>
      <c r="B177" s="37" t="s">
        <v>3708</v>
      </c>
      <c r="C177" s="1302">
        <f>C176*12</f>
        <v>9.241766985853514E-2</v>
      </c>
      <c r="D177" s="1286"/>
      <c r="E177" s="1286" t="s">
        <v>3710</v>
      </c>
      <c r="F177" s="1286"/>
      <c r="G177" s="24"/>
      <c r="H177" s="24"/>
      <c r="I177" s="24"/>
      <c r="J177" s="1284"/>
      <c r="K177" s="1284"/>
      <c r="L177" s="1284"/>
      <c r="M177" s="1284"/>
      <c r="N177" s="1284"/>
    </row>
    <row r="178" spans="1:14">
      <c r="A178" s="346"/>
      <c r="B178" s="37" t="s">
        <v>3708</v>
      </c>
      <c r="C178" s="1303">
        <f>C176*12</f>
        <v>9.241766985853514E-2</v>
      </c>
      <c r="D178" s="1286"/>
      <c r="E178" s="1286" t="s">
        <v>3709</v>
      </c>
      <c r="F178" s="1286"/>
      <c r="G178" s="24"/>
      <c r="H178" s="24"/>
      <c r="I178" s="24"/>
      <c r="J178" s="1284"/>
      <c r="K178" s="1284"/>
      <c r="L178" s="1284"/>
      <c r="M178" s="1284"/>
      <c r="N178" s="1284"/>
    </row>
    <row r="179" spans="1:14">
      <c r="A179" s="346"/>
      <c r="B179" s="37"/>
      <c r="C179" s="1286"/>
      <c r="D179" s="1286"/>
      <c r="E179" s="1286"/>
      <c r="F179" s="1286"/>
      <c r="G179" s="24"/>
      <c r="H179" s="24"/>
      <c r="I179" s="24"/>
      <c r="J179" s="1284"/>
      <c r="K179" s="1284"/>
      <c r="L179" s="1284"/>
      <c r="M179" s="1284"/>
      <c r="N179" s="1284"/>
    </row>
    <row r="180" spans="1:14">
      <c r="A180" s="346"/>
      <c r="B180" s="37"/>
      <c r="C180" s="1286"/>
      <c r="D180" s="1286"/>
      <c r="E180" s="1286"/>
      <c r="F180" s="1286"/>
      <c r="G180" s="24"/>
      <c r="H180" s="24"/>
      <c r="I180" s="24"/>
      <c r="J180" s="1284"/>
      <c r="K180" s="1284"/>
      <c r="L180" s="1284"/>
      <c r="M180" s="1284"/>
      <c r="N180" s="1284"/>
    </row>
    <row r="181" spans="1:14">
      <c r="A181" s="346">
        <v>10</v>
      </c>
      <c r="B181" s="24" t="s">
        <v>3652</v>
      </c>
      <c r="C181" s="1286"/>
      <c r="D181" s="1286"/>
      <c r="E181" s="1286"/>
      <c r="F181" s="1286"/>
      <c r="G181" s="24"/>
      <c r="H181" s="24"/>
      <c r="I181" s="24"/>
      <c r="J181" s="1284"/>
      <c r="K181" s="1284"/>
      <c r="L181" s="1284"/>
      <c r="M181" s="1284"/>
      <c r="N181" s="1284"/>
    </row>
    <row r="182" spans="1:14">
      <c r="A182" s="346"/>
      <c r="B182" s="24" t="s">
        <v>3653</v>
      </c>
      <c r="C182" s="24"/>
      <c r="D182" s="24"/>
      <c r="E182" s="24"/>
      <c r="F182" s="1287"/>
      <c r="G182" s="24"/>
      <c r="H182" s="24"/>
      <c r="I182" s="24"/>
      <c r="J182" s="1284"/>
      <c r="K182" s="1284"/>
      <c r="L182" s="1284"/>
      <c r="M182" s="1284"/>
      <c r="N182" s="1284"/>
    </row>
    <row r="183" spans="1:14">
      <c r="A183" s="346"/>
      <c r="B183" s="24"/>
      <c r="C183" s="24"/>
      <c r="D183" s="24"/>
      <c r="E183" s="24"/>
      <c r="F183" s="1287"/>
      <c r="G183" s="24"/>
      <c r="H183" s="24"/>
      <c r="I183" s="24"/>
      <c r="J183" s="1284"/>
      <c r="K183" s="1284"/>
      <c r="L183" s="1284"/>
      <c r="M183" s="1284"/>
      <c r="N183" s="1284"/>
    </row>
    <row r="184" spans="1:14">
      <c r="A184" s="346"/>
      <c r="B184" s="37" t="s">
        <v>3679</v>
      </c>
      <c r="C184" s="1288">
        <v>6</v>
      </c>
      <c r="D184" s="24" t="s">
        <v>459</v>
      </c>
      <c r="E184" s="24"/>
      <c r="F184" s="1287"/>
      <c r="G184" s="24"/>
      <c r="H184" s="24"/>
      <c r="I184" s="24"/>
      <c r="J184" s="1284"/>
      <c r="K184" s="1284"/>
      <c r="L184" s="1284"/>
      <c r="M184" s="1284"/>
      <c r="N184" s="1284"/>
    </row>
    <row r="185" spans="1:14">
      <c r="A185" s="346"/>
      <c r="B185" s="37" t="s">
        <v>3702</v>
      </c>
      <c r="C185" s="1292">
        <v>12</v>
      </c>
      <c r="D185" s="24" t="s">
        <v>3693</v>
      </c>
      <c r="E185" s="24"/>
      <c r="F185" s="1287"/>
      <c r="G185" s="24"/>
      <c r="H185" s="24"/>
      <c r="I185" s="24"/>
      <c r="J185" s="1284"/>
      <c r="K185" s="1284"/>
      <c r="L185" s="1284"/>
      <c r="M185" s="1284"/>
      <c r="N185" s="1284"/>
    </row>
    <row r="186" spans="1:14">
      <c r="A186" s="346"/>
      <c r="B186" s="37" t="s">
        <v>3718</v>
      </c>
      <c r="C186" s="1288">
        <v>100</v>
      </c>
      <c r="D186" s="24" t="s">
        <v>3660</v>
      </c>
      <c r="E186" s="65" t="s">
        <v>3727</v>
      </c>
      <c r="F186" s="1287"/>
      <c r="G186" s="24"/>
      <c r="H186" s="24"/>
      <c r="I186" s="24"/>
      <c r="K186" s="1284"/>
      <c r="L186" s="1284"/>
      <c r="M186" s="1284"/>
      <c r="N186" s="1284"/>
    </row>
    <row r="187" spans="1:14">
      <c r="A187" s="346"/>
      <c r="B187" s="37" t="s">
        <v>3721</v>
      </c>
      <c r="C187" s="1288">
        <v>1000</v>
      </c>
      <c r="D187" s="24" t="s">
        <v>3660</v>
      </c>
      <c r="E187" s="24"/>
      <c r="F187" s="1287"/>
      <c r="G187" s="24"/>
      <c r="H187" s="24"/>
      <c r="I187" s="24"/>
      <c r="J187" s="1284"/>
      <c r="K187" s="1284"/>
      <c r="L187" s="1284"/>
      <c r="M187" s="1284"/>
      <c r="N187" s="1284"/>
    </row>
    <row r="188" spans="1:14">
      <c r="A188" s="346"/>
      <c r="B188" s="37" t="s">
        <v>3703</v>
      </c>
      <c r="C188" s="1292">
        <v>0</v>
      </c>
      <c r="D188" s="24"/>
      <c r="E188" s="24"/>
      <c r="F188" s="1287"/>
      <c r="G188" s="24"/>
      <c r="H188" s="1284" t="s">
        <v>3713</v>
      </c>
      <c r="I188" s="24"/>
      <c r="J188" s="1284"/>
      <c r="K188" s="1284"/>
      <c r="L188" s="1284"/>
      <c r="M188" s="1284"/>
      <c r="N188" s="1284"/>
    </row>
    <row r="189" spans="1:14">
      <c r="A189" s="346"/>
      <c r="B189" s="1276"/>
      <c r="C189" s="1277"/>
      <c r="D189" s="1275"/>
      <c r="E189" s="1284"/>
      <c r="F189" s="1287"/>
      <c r="G189" s="24"/>
      <c r="H189" s="1284" t="s">
        <v>3714</v>
      </c>
      <c r="I189" s="24"/>
      <c r="J189" s="1284"/>
      <c r="K189" s="1284"/>
      <c r="L189" s="1284"/>
      <c r="M189" s="1284"/>
      <c r="N189" s="1284"/>
    </row>
    <row r="190" spans="1:14">
      <c r="A190" s="346"/>
      <c r="B190" s="37" t="s">
        <v>3707</v>
      </c>
      <c r="C190" s="1304">
        <f>C184/12</f>
        <v>0.5</v>
      </c>
      <c r="D190" s="24" t="s">
        <v>459</v>
      </c>
      <c r="E190" s="24"/>
      <c r="F190" s="1287"/>
      <c r="G190" s="24"/>
      <c r="H190" s="1284" t="s">
        <v>3715</v>
      </c>
      <c r="I190" s="24"/>
      <c r="J190" s="1284"/>
      <c r="K190" s="1284"/>
      <c r="L190" s="1284"/>
      <c r="M190" s="1284"/>
      <c r="N190" s="1284"/>
    </row>
    <row r="191" spans="1:14">
      <c r="A191" s="346"/>
      <c r="B191" s="37" t="s">
        <v>3701</v>
      </c>
      <c r="C191" s="1305">
        <f>FV(C190/100,C185,C186,C187,C188)</f>
        <v>-2295.2340491544501</v>
      </c>
      <c r="D191" s="24"/>
      <c r="E191" s="24" t="s">
        <v>3712</v>
      </c>
      <c r="F191" s="1287"/>
      <c r="G191" s="24"/>
      <c r="H191" s="1284" t="s">
        <v>3716</v>
      </c>
      <c r="I191" s="24"/>
      <c r="J191" s="1284"/>
      <c r="K191" s="1284"/>
      <c r="L191" s="1284"/>
      <c r="M191" s="1284"/>
      <c r="N191" s="1284"/>
    </row>
    <row r="192" spans="1:14">
      <c r="A192" s="346"/>
      <c r="B192" s="37"/>
      <c r="C192" s="1284" t="s">
        <v>3722</v>
      </c>
      <c r="D192" s="24"/>
      <c r="E192" s="1284"/>
      <c r="F192" s="1287"/>
      <c r="G192" s="24"/>
      <c r="H192" s="1284" t="s">
        <v>3717</v>
      </c>
      <c r="I192" s="24"/>
      <c r="J192" s="1284"/>
      <c r="K192" s="1284"/>
      <c r="L192" s="1284"/>
      <c r="M192" s="1284"/>
      <c r="N192" s="1284"/>
    </row>
    <row r="193" spans="1:14">
      <c r="A193" s="346"/>
      <c r="B193" s="24"/>
      <c r="C193" s="1284" t="s">
        <v>3723</v>
      </c>
      <c r="D193" s="24"/>
      <c r="E193" s="1284"/>
      <c r="F193" s="1287"/>
      <c r="G193" s="24"/>
      <c r="H193" s="1284"/>
      <c r="I193" s="24"/>
      <c r="J193" s="1284"/>
      <c r="K193" s="1284"/>
      <c r="L193" s="1284"/>
      <c r="M193" s="1284"/>
      <c r="N193" s="1284"/>
    </row>
    <row r="194" spans="1:14">
      <c r="A194" s="346"/>
      <c r="B194" s="24"/>
      <c r="C194" s="1284"/>
      <c r="D194" s="24"/>
      <c r="E194" s="1284"/>
      <c r="F194" s="1287"/>
      <c r="G194" s="24"/>
      <c r="H194" s="1284"/>
      <c r="I194" s="24"/>
      <c r="J194" s="1284"/>
      <c r="K194" s="1284"/>
      <c r="L194" s="1284"/>
      <c r="M194" s="1284"/>
      <c r="N194" s="1284"/>
    </row>
    <row r="195" spans="1:14">
      <c r="A195" s="346"/>
      <c r="B195" s="24"/>
      <c r="C195" s="1284"/>
      <c r="D195" s="24"/>
      <c r="E195" s="1284"/>
      <c r="F195" s="1287"/>
      <c r="G195" s="24"/>
      <c r="H195" s="1284"/>
      <c r="I195" s="24"/>
      <c r="J195" s="1284"/>
      <c r="K195" s="1284"/>
      <c r="L195" s="1284"/>
      <c r="M195" s="1284"/>
      <c r="N195" s="1284"/>
    </row>
    <row r="196" spans="1:14">
      <c r="A196" s="346"/>
      <c r="B196" s="24"/>
      <c r="C196" s="24"/>
      <c r="D196" s="24"/>
      <c r="F196" s="1287"/>
      <c r="G196" s="24"/>
      <c r="H196" s="1284"/>
      <c r="I196" s="24"/>
      <c r="J196" s="1284"/>
      <c r="K196" s="1284"/>
      <c r="L196" s="1284"/>
      <c r="M196" s="1284"/>
      <c r="N196" s="1284"/>
    </row>
    <row r="197" spans="1:14">
      <c r="A197" s="346">
        <v>11</v>
      </c>
      <c r="B197" s="24" t="s">
        <v>3719</v>
      </c>
      <c r="C197" s="24"/>
      <c r="D197" s="24"/>
      <c r="E197" s="24"/>
      <c r="F197" s="1287"/>
      <c r="G197" s="24"/>
      <c r="H197" s="1284"/>
      <c r="I197" s="24"/>
      <c r="J197" s="1284"/>
      <c r="K197" s="1284"/>
      <c r="L197" s="1284"/>
      <c r="M197" s="1284"/>
      <c r="N197" s="1284"/>
    </row>
    <row r="198" spans="1:14">
      <c r="A198" s="346"/>
      <c r="B198" s="24" t="s">
        <v>3720</v>
      </c>
      <c r="C198" s="24"/>
      <c r="D198" s="24"/>
      <c r="E198" s="24"/>
      <c r="F198" s="1287"/>
      <c r="G198" s="24"/>
      <c r="H198" s="1284"/>
      <c r="I198" s="24"/>
      <c r="J198" s="1284"/>
      <c r="K198" s="1284"/>
      <c r="L198" s="1284"/>
      <c r="M198" s="1284"/>
      <c r="N198" s="1284"/>
    </row>
    <row r="199" spans="1:14">
      <c r="A199" s="346"/>
      <c r="B199" s="24"/>
      <c r="C199" s="24"/>
      <c r="D199" s="24"/>
      <c r="E199" s="24"/>
      <c r="F199" s="1287"/>
      <c r="G199" s="24"/>
      <c r="H199" s="24"/>
      <c r="I199" s="24"/>
      <c r="J199" s="1284"/>
      <c r="K199" s="1284"/>
      <c r="L199" s="1284"/>
      <c r="M199" s="1284"/>
      <c r="N199" s="1284"/>
    </row>
    <row r="200" spans="1:14">
      <c r="A200" s="346"/>
      <c r="B200" s="37" t="s">
        <v>3679</v>
      </c>
      <c r="C200" s="1288">
        <v>9.0500000000000007</v>
      </c>
      <c r="D200" s="24" t="s">
        <v>459</v>
      </c>
      <c r="E200" s="24"/>
      <c r="F200" s="1287"/>
      <c r="G200" s="24"/>
      <c r="H200" s="24"/>
      <c r="I200" s="24"/>
      <c r="J200" s="1284"/>
      <c r="K200" s="1284"/>
      <c r="L200" s="1284"/>
      <c r="M200" s="1284"/>
      <c r="N200" s="1284"/>
    </row>
    <row r="201" spans="1:14">
      <c r="A201" s="346"/>
      <c r="B201" s="37" t="s">
        <v>3702</v>
      </c>
      <c r="C201" s="1292">
        <v>72</v>
      </c>
      <c r="D201" s="24" t="s">
        <v>3693</v>
      </c>
      <c r="E201" s="24"/>
      <c r="F201" s="1287"/>
      <c r="G201" s="24"/>
      <c r="H201" s="24"/>
      <c r="I201" s="24"/>
      <c r="J201" s="1284"/>
      <c r="K201" s="1284"/>
      <c r="L201" s="1284"/>
      <c r="M201" s="1284"/>
      <c r="N201" s="1284"/>
    </row>
    <row r="202" spans="1:14">
      <c r="A202" s="346"/>
      <c r="B202" s="37" t="s">
        <v>3726</v>
      </c>
      <c r="C202" s="1288">
        <v>-2000</v>
      </c>
      <c r="D202" s="24" t="s">
        <v>3660</v>
      </c>
      <c r="E202" s="65" t="s">
        <v>3727</v>
      </c>
      <c r="F202" s="1287"/>
      <c r="G202" s="24"/>
      <c r="H202" s="24"/>
      <c r="I202" s="24"/>
      <c r="J202" s="1284"/>
      <c r="K202" s="1284"/>
      <c r="L202" s="1284"/>
      <c r="M202" s="1284"/>
      <c r="N202" s="1284"/>
    </row>
    <row r="203" spans="1:14">
      <c r="A203" s="346"/>
      <c r="B203" s="37" t="s">
        <v>3696</v>
      </c>
      <c r="C203" s="1288">
        <v>100000</v>
      </c>
      <c r="D203" s="24" t="s">
        <v>3660</v>
      </c>
      <c r="E203" s="24"/>
      <c r="F203" s="1287"/>
      <c r="G203" s="24"/>
      <c r="H203" s="24"/>
      <c r="I203" s="24"/>
      <c r="J203" s="1284"/>
      <c r="K203" s="1284"/>
      <c r="L203" s="1284"/>
      <c r="M203" s="1284"/>
      <c r="N203" s="1284"/>
    </row>
    <row r="204" spans="1:14">
      <c r="A204" s="346"/>
      <c r="B204" s="37" t="s">
        <v>3703</v>
      </c>
      <c r="C204" s="1292">
        <v>1</v>
      </c>
      <c r="D204" s="24"/>
      <c r="E204" s="24"/>
      <c r="F204" s="1287"/>
      <c r="G204" s="24"/>
      <c r="H204" s="24"/>
      <c r="I204" s="24"/>
      <c r="J204" s="1284"/>
      <c r="K204" s="1284"/>
      <c r="L204" s="1284"/>
      <c r="M204" s="1284"/>
      <c r="N204" s="1284"/>
    </row>
    <row r="205" spans="1:14">
      <c r="A205" s="346"/>
      <c r="B205" s="1276"/>
      <c r="C205" s="1277"/>
      <c r="D205" s="1275"/>
      <c r="F205" s="1287"/>
      <c r="G205" s="24"/>
      <c r="H205" s="24"/>
      <c r="I205" s="24"/>
      <c r="J205" s="1284"/>
      <c r="K205" s="1284"/>
      <c r="L205" s="1284"/>
      <c r="M205" s="1284"/>
      <c r="N205" s="1284"/>
    </row>
    <row r="206" spans="1:14">
      <c r="A206" s="346"/>
      <c r="B206" s="37" t="s">
        <v>3707</v>
      </c>
      <c r="C206" s="1304">
        <f>C200/12</f>
        <v>0.75416666666666676</v>
      </c>
      <c r="D206" s="24" t="s">
        <v>459</v>
      </c>
      <c r="E206" s="24"/>
      <c r="F206" s="1287"/>
      <c r="G206" s="24"/>
      <c r="H206" s="24"/>
      <c r="I206" s="24"/>
      <c r="J206" s="1284"/>
      <c r="K206" s="1284"/>
      <c r="L206" s="1284"/>
      <c r="M206" s="1284"/>
      <c r="N206" s="1284"/>
    </row>
    <row r="207" spans="1:14">
      <c r="A207" s="346"/>
      <c r="B207" s="37" t="s">
        <v>3701</v>
      </c>
      <c r="C207" s="1305">
        <f>FV(C206/100,C201,C202,C203,C204)</f>
        <v>19987.929380820598</v>
      </c>
      <c r="D207" s="24"/>
      <c r="E207" s="24" t="s">
        <v>3712</v>
      </c>
      <c r="F207" s="1287"/>
      <c r="G207" s="24"/>
      <c r="H207" s="24"/>
      <c r="I207" s="24"/>
      <c r="J207" s="1284"/>
      <c r="K207" s="1284"/>
      <c r="L207" s="1284"/>
      <c r="M207" s="1284"/>
      <c r="N207" s="1284"/>
    </row>
    <row r="208" spans="1:14">
      <c r="A208" s="346"/>
      <c r="B208" s="24"/>
      <c r="C208" s="1284" t="s">
        <v>3722</v>
      </c>
      <c r="D208" s="24"/>
      <c r="E208" s="24"/>
      <c r="F208" s="1287"/>
      <c r="G208" s="24"/>
      <c r="H208" s="24"/>
      <c r="I208" s="24"/>
      <c r="J208" s="1284"/>
      <c r="K208" s="1284"/>
      <c r="L208" s="1284"/>
      <c r="M208" s="1284"/>
      <c r="N208" s="1284"/>
    </row>
    <row r="209" spans="1:14">
      <c r="A209" s="346"/>
      <c r="B209" s="24"/>
      <c r="C209" s="1284" t="s">
        <v>3723</v>
      </c>
      <c r="D209" s="24"/>
      <c r="E209" s="24"/>
      <c r="F209" s="1287"/>
      <c r="G209" s="24"/>
      <c r="H209" s="24"/>
      <c r="I209" s="24"/>
      <c r="J209" s="1284"/>
      <c r="K209" s="1284"/>
      <c r="L209" s="1284"/>
      <c r="M209" s="1284"/>
      <c r="N209" s="1284"/>
    </row>
    <row r="210" spans="1:14">
      <c r="A210" s="346"/>
      <c r="B210" s="24"/>
      <c r="C210" s="24"/>
      <c r="D210" s="24"/>
      <c r="E210" s="24"/>
      <c r="F210" s="1287"/>
      <c r="G210" s="24"/>
      <c r="H210" s="24"/>
      <c r="I210" s="24"/>
      <c r="J210" s="1284"/>
      <c r="K210" s="1284"/>
      <c r="L210" s="1284"/>
      <c r="M210" s="1284"/>
      <c r="N210" s="1284"/>
    </row>
    <row r="211" spans="1:14">
      <c r="A211" s="346"/>
      <c r="B211" s="24"/>
      <c r="C211" s="24"/>
      <c r="D211" s="24"/>
      <c r="E211" s="24"/>
      <c r="F211" s="24"/>
      <c r="G211" s="24"/>
      <c r="H211" s="24"/>
      <c r="I211" s="24"/>
      <c r="J211" s="1284"/>
      <c r="K211" s="1284"/>
      <c r="L211" s="1284"/>
      <c r="M211" s="1284"/>
      <c r="N211" s="1284"/>
    </row>
    <row r="212" spans="1:14">
      <c r="A212" s="1251"/>
      <c r="B212" s="24" t="s">
        <v>3654</v>
      </c>
      <c r="C212" s="24"/>
      <c r="D212" s="24"/>
      <c r="E212" s="24"/>
      <c r="F212" s="24"/>
      <c r="G212" s="24"/>
      <c r="H212" s="24"/>
      <c r="I212" s="24"/>
      <c r="J212" s="1284"/>
      <c r="K212" s="1284"/>
      <c r="L212" s="1284"/>
      <c r="M212" s="1284"/>
      <c r="N212" s="1284"/>
    </row>
    <row r="213" spans="1:14">
      <c r="A213" s="346"/>
      <c r="B213" s="24" t="s">
        <v>3655</v>
      </c>
      <c r="C213" s="24"/>
      <c r="D213" s="24"/>
      <c r="E213" s="24"/>
      <c r="F213" s="24"/>
      <c r="G213" s="24"/>
      <c r="H213" s="24"/>
      <c r="I213" s="24"/>
      <c r="J213" s="1284"/>
      <c r="K213" s="1284"/>
      <c r="L213" s="1284"/>
      <c r="M213" s="1284"/>
      <c r="N213" s="1284"/>
    </row>
    <row r="214" spans="1:14">
      <c r="A214" s="346"/>
      <c r="B214" s="24"/>
      <c r="C214" s="24"/>
      <c r="D214" s="24"/>
      <c r="E214" s="24"/>
      <c r="F214" s="24"/>
      <c r="G214" s="24"/>
      <c r="H214" s="24"/>
      <c r="I214" s="24"/>
      <c r="J214" s="1284"/>
      <c r="K214" s="1284"/>
      <c r="L214" s="1284"/>
      <c r="M214" s="1284"/>
      <c r="N214" s="1284"/>
    </row>
    <row r="215" spans="1:14">
      <c r="A215" s="346"/>
      <c r="B215" s="37" t="s">
        <v>3679</v>
      </c>
      <c r="C215" s="1288">
        <v>9.0500000000000007</v>
      </c>
      <c r="D215" s="24" t="s">
        <v>459</v>
      </c>
      <c r="E215" s="24"/>
      <c r="F215" s="24"/>
      <c r="G215" s="24"/>
      <c r="H215" s="24"/>
      <c r="I215" s="24"/>
      <c r="J215" s="1284"/>
      <c r="K215" s="1284"/>
      <c r="L215" s="1284"/>
      <c r="M215" s="1284"/>
      <c r="N215" s="1284"/>
    </row>
    <row r="216" spans="1:14">
      <c r="A216" s="346"/>
      <c r="B216" s="37" t="s">
        <v>3726</v>
      </c>
      <c r="C216" s="1288">
        <v>-2000</v>
      </c>
      <c r="D216" s="24" t="s">
        <v>3660</v>
      </c>
      <c r="E216" s="65" t="s">
        <v>3727</v>
      </c>
      <c r="F216" s="24"/>
      <c r="G216" s="24"/>
      <c r="H216" s="24"/>
      <c r="I216" s="24"/>
      <c r="J216" s="1284"/>
      <c r="K216" s="1284"/>
      <c r="L216" s="1284"/>
      <c r="M216" s="1284"/>
      <c r="N216" s="1284"/>
    </row>
    <row r="217" spans="1:14">
      <c r="A217" s="346"/>
      <c r="B217" s="37" t="s">
        <v>3696</v>
      </c>
      <c r="C217" s="1288">
        <v>100000</v>
      </c>
      <c r="D217" s="24" t="s">
        <v>3660</v>
      </c>
      <c r="F217" s="24"/>
      <c r="G217" s="24"/>
      <c r="H217" s="24"/>
      <c r="I217" s="24"/>
      <c r="J217" s="1284"/>
      <c r="K217" s="1284"/>
      <c r="L217" s="1284"/>
      <c r="M217" s="1284"/>
      <c r="N217" s="1284"/>
    </row>
    <row r="218" spans="1:14">
      <c r="A218" s="346"/>
      <c r="B218" s="37" t="s">
        <v>3701</v>
      </c>
      <c r="C218" s="1288">
        <v>20000</v>
      </c>
      <c r="D218" s="24" t="s">
        <v>3660</v>
      </c>
      <c r="E218" s="24"/>
      <c r="F218" s="24"/>
      <c r="G218" s="24"/>
      <c r="H218" s="24"/>
      <c r="I218" s="24"/>
      <c r="J218" s="1284"/>
      <c r="K218" s="1284"/>
      <c r="L218" s="1284"/>
      <c r="M218" s="1284"/>
      <c r="N218" s="1284"/>
    </row>
    <row r="219" spans="1:14">
      <c r="A219" s="346"/>
      <c r="B219" s="37" t="s">
        <v>3703</v>
      </c>
      <c r="C219" s="1292">
        <v>1</v>
      </c>
      <c r="D219" s="24"/>
      <c r="E219" s="24"/>
      <c r="F219" s="24"/>
      <c r="G219" s="24"/>
      <c r="H219" s="24"/>
      <c r="I219" s="24"/>
      <c r="J219" s="1284"/>
      <c r="K219" s="1284"/>
      <c r="L219" s="1284"/>
      <c r="M219" s="1284"/>
      <c r="N219" s="1284"/>
    </row>
    <row r="220" spans="1:14">
      <c r="A220" s="346"/>
      <c r="B220" s="1276"/>
      <c r="C220" s="1277"/>
      <c r="D220" s="1275"/>
      <c r="E220" s="24"/>
      <c r="F220" s="24"/>
      <c r="G220" s="24"/>
      <c r="H220" s="350" t="s">
        <v>3713</v>
      </c>
      <c r="I220" s="24"/>
      <c r="J220" s="1284"/>
      <c r="K220" s="1284"/>
      <c r="L220" s="1284"/>
      <c r="M220" s="1284"/>
      <c r="N220" s="1284"/>
    </row>
    <row r="221" spans="1:14">
      <c r="A221" s="346"/>
      <c r="B221" s="37" t="s">
        <v>3707</v>
      </c>
      <c r="C221" s="1304">
        <f>C215/12</f>
        <v>0.75416666666666676</v>
      </c>
      <c r="D221" s="24" t="s">
        <v>459</v>
      </c>
      <c r="E221" s="24"/>
      <c r="F221" s="24"/>
      <c r="G221" s="24"/>
      <c r="H221" s="350" t="s">
        <v>3715</v>
      </c>
      <c r="I221" s="24"/>
      <c r="J221" s="1284"/>
      <c r="K221" s="1284"/>
      <c r="L221" s="1284"/>
      <c r="M221" s="1284"/>
      <c r="N221" s="1284"/>
    </row>
    <row r="222" spans="1:14">
      <c r="A222" s="346"/>
      <c r="B222" s="37" t="s">
        <v>3702</v>
      </c>
      <c r="C222" s="1307">
        <f>NPER(C221/100,C216,C217,C218,C219)</f>
        <v>72.005594090154162</v>
      </c>
      <c r="D222" s="24" t="s">
        <v>3693</v>
      </c>
      <c r="E222" s="24" t="s">
        <v>3724</v>
      </c>
      <c r="F222" s="24"/>
      <c r="G222" s="24"/>
      <c r="H222" s="350" t="s">
        <v>3716</v>
      </c>
      <c r="I222" s="24"/>
      <c r="J222" s="1284"/>
      <c r="K222" s="1284"/>
      <c r="L222" s="1284"/>
      <c r="M222" s="1284"/>
      <c r="N222" s="1284"/>
    </row>
    <row r="223" spans="1:14">
      <c r="A223" s="346"/>
      <c r="C223" s="1277"/>
      <c r="D223" s="1275"/>
      <c r="E223" s="1284"/>
      <c r="F223" s="24"/>
      <c r="G223" s="24"/>
      <c r="H223" s="350" t="s">
        <v>3725</v>
      </c>
      <c r="I223" s="24"/>
      <c r="J223" s="1284"/>
      <c r="K223" s="1284"/>
      <c r="L223" s="1284"/>
      <c r="M223" s="1284"/>
      <c r="N223" s="1284"/>
    </row>
    <row r="224" spans="1:14">
      <c r="A224" s="346"/>
      <c r="B224" s="24"/>
      <c r="C224" s="24"/>
      <c r="D224" s="24"/>
      <c r="E224" s="24"/>
      <c r="F224" s="24"/>
      <c r="G224" s="24"/>
      <c r="H224" s="350" t="s">
        <v>3717</v>
      </c>
      <c r="I224" s="24"/>
      <c r="J224" s="1284"/>
      <c r="K224" s="1284"/>
      <c r="L224" s="1284"/>
      <c r="M224" s="1284"/>
      <c r="N224" s="1284"/>
    </row>
    <row r="225" spans="1:14">
      <c r="A225" s="346"/>
      <c r="B225" s="24"/>
      <c r="C225" s="24"/>
      <c r="D225" s="24"/>
      <c r="E225" s="24"/>
      <c r="F225" s="24"/>
      <c r="G225" s="24"/>
      <c r="H225" s="24"/>
      <c r="I225" s="24"/>
      <c r="J225" s="1284"/>
      <c r="K225" s="1284"/>
      <c r="L225" s="1284"/>
      <c r="M225" s="1284"/>
      <c r="N225" s="1284"/>
    </row>
    <row r="226" spans="1:14">
      <c r="A226" s="346"/>
      <c r="B226" s="24"/>
      <c r="C226" s="24"/>
      <c r="D226" s="24"/>
      <c r="E226" s="24"/>
      <c r="F226" s="24"/>
      <c r="G226" s="24"/>
      <c r="H226" s="24"/>
      <c r="I226" s="24"/>
      <c r="J226" s="1284"/>
      <c r="K226" s="1284"/>
      <c r="L226" s="1284"/>
      <c r="M226" s="1284"/>
      <c r="N226" s="1284"/>
    </row>
    <row r="227" spans="1:14">
      <c r="A227" s="346"/>
      <c r="B227" s="24"/>
      <c r="C227" s="24"/>
      <c r="D227" s="24"/>
      <c r="E227" s="24"/>
      <c r="F227" s="24"/>
      <c r="G227" s="24"/>
      <c r="H227" s="24"/>
      <c r="I227" s="24"/>
      <c r="J227" s="1284"/>
      <c r="K227" s="1284"/>
      <c r="L227" s="1284"/>
      <c r="M227" s="1284"/>
      <c r="N227" s="1284"/>
    </row>
    <row r="228" spans="1:14">
      <c r="A228" s="346"/>
      <c r="B228" s="24"/>
      <c r="C228" s="24"/>
      <c r="D228" s="24"/>
      <c r="E228" s="24"/>
      <c r="F228" s="24"/>
      <c r="G228" s="24"/>
      <c r="H228" s="24"/>
      <c r="I228" s="24"/>
      <c r="J228" s="1284"/>
      <c r="K228" s="1284"/>
      <c r="L228" s="1284"/>
      <c r="M228" s="1284"/>
      <c r="N228" s="1284"/>
    </row>
    <row r="229" spans="1:14">
      <c r="B229" s="24" t="s">
        <v>3733</v>
      </c>
      <c r="C229" s="24"/>
      <c r="D229" s="24"/>
      <c r="E229" s="24"/>
      <c r="F229" s="24"/>
      <c r="G229" s="24"/>
      <c r="H229" s="24"/>
      <c r="I229" s="24"/>
      <c r="J229" s="1284"/>
      <c r="K229" s="1284"/>
      <c r="L229" s="1284"/>
      <c r="M229" s="1284"/>
      <c r="N229" s="1284"/>
    </row>
    <row r="230" spans="1:14">
      <c r="A230" s="346"/>
      <c r="B230" s="24" t="s">
        <v>3732</v>
      </c>
      <c r="C230" s="24"/>
      <c r="D230" s="24"/>
      <c r="E230" s="24"/>
      <c r="F230" s="24"/>
      <c r="G230" s="24"/>
      <c r="H230" s="24"/>
      <c r="I230" s="24"/>
      <c r="J230" s="1284"/>
      <c r="K230" s="1284"/>
      <c r="L230" s="1284"/>
      <c r="M230" s="1284"/>
      <c r="N230" s="1284"/>
    </row>
    <row r="231" spans="1:14">
      <c r="A231" s="346"/>
      <c r="C231" s="24"/>
      <c r="D231" s="24"/>
      <c r="E231" s="24"/>
      <c r="F231" s="24"/>
      <c r="G231" s="24"/>
      <c r="H231" s="24"/>
      <c r="I231" s="24"/>
      <c r="J231" s="1284"/>
      <c r="K231" s="1284"/>
      <c r="L231" s="1284"/>
      <c r="M231" s="1284"/>
      <c r="N231" s="1284"/>
    </row>
    <row r="232" spans="1:14">
      <c r="A232" s="346"/>
      <c r="B232" s="24"/>
      <c r="C232" s="24"/>
      <c r="D232" s="24"/>
      <c r="E232" s="24"/>
      <c r="F232" s="24"/>
      <c r="G232" s="24"/>
      <c r="H232" s="24"/>
      <c r="I232" s="24"/>
      <c r="J232" s="1284"/>
      <c r="K232" s="1284"/>
      <c r="L232" s="1284"/>
      <c r="M232" s="1284"/>
      <c r="N232" s="1284"/>
    </row>
    <row r="233" spans="1:14">
      <c r="A233" s="346"/>
      <c r="B233" s="37" t="s">
        <v>3679</v>
      </c>
      <c r="C233" s="1288">
        <v>9.0500000000000007</v>
      </c>
      <c r="D233" s="24" t="s">
        <v>459</v>
      </c>
      <c r="E233" s="24"/>
      <c r="F233" s="24"/>
      <c r="G233" s="24"/>
      <c r="H233" s="24"/>
      <c r="I233" s="24"/>
      <c r="J233" s="1284"/>
      <c r="K233" s="1284"/>
      <c r="L233" s="1284"/>
      <c r="M233" s="1284"/>
      <c r="N233" s="1284"/>
    </row>
    <row r="234" spans="1:14">
      <c r="A234" s="346"/>
      <c r="B234" s="37" t="s">
        <v>3702</v>
      </c>
      <c r="C234" s="1292">
        <v>72</v>
      </c>
      <c r="D234" s="24" t="s">
        <v>3693</v>
      </c>
      <c r="E234" s="24"/>
      <c r="F234" s="24"/>
      <c r="G234" s="24"/>
      <c r="H234" s="24"/>
      <c r="I234" s="24"/>
      <c r="J234" s="1284"/>
      <c r="K234" s="1284"/>
      <c r="L234" s="1284"/>
      <c r="M234" s="1284"/>
      <c r="N234" s="1284"/>
    </row>
    <row r="235" spans="1:14">
      <c r="A235" s="346"/>
      <c r="B235" s="37" t="s">
        <v>3726</v>
      </c>
      <c r="C235" s="1288">
        <v>-2000</v>
      </c>
      <c r="D235" s="24" t="s">
        <v>3660</v>
      </c>
      <c r="E235" s="65" t="s">
        <v>3727</v>
      </c>
      <c r="F235" s="24"/>
      <c r="G235" s="24"/>
      <c r="H235" s="24"/>
      <c r="I235" s="24"/>
      <c r="J235" s="1284"/>
      <c r="K235" s="1284"/>
      <c r="L235" s="1284"/>
      <c r="M235" s="1284"/>
      <c r="N235" s="1284"/>
    </row>
    <row r="236" spans="1:14">
      <c r="A236" s="346"/>
      <c r="B236" s="37" t="s">
        <v>3701</v>
      </c>
      <c r="C236" s="1288">
        <v>180000</v>
      </c>
      <c r="D236" s="24" t="s">
        <v>3660</v>
      </c>
      <c r="E236" s="24"/>
      <c r="F236" s="24"/>
      <c r="G236" s="24"/>
      <c r="H236" s="24"/>
      <c r="I236" s="24"/>
      <c r="J236" s="1284"/>
      <c r="K236" s="1284"/>
      <c r="L236" s="1284"/>
      <c r="M236" s="1284"/>
      <c r="N236" s="1284"/>
    </row>
    <row r="237" spans="1:14">
      <c r="A237" s="346"/>
      <c r="B237" s="37" t="s">
        <v>3703</v>
      </c>
      <c r="C237" s="1292">
        <v>1</v>
      </c>
      <c r="D237" s="24"/>
      <c r="E237" s="24"/>
      <c r="F237" s="24"/>
      <c r="G237" s="24"/>
      <c r="H237" s="350" t="s">
        <v>3713</v>
      </c>
      <c r="I237" s="24"/>
      <c r="J237" s="1284"/>
      <c r="K237" s="1284"/>
      <c r="L237" s="1284"/>
      <c r="M237" s="1284"/>
      <c r="N237" s="1284"/>
    </row>
    <row r="238" spans="1:14">
      <c r="A238" s="346"/>
      <c r="B238" s="24"/>
      <c r="C238" s="24"/>
      <c r="D238" s="24"/>
      <c r="E238" s="24"/>
      <c r="F238" s="24"/>
      <c r="G238" s="24"/>
      <c r="H238" s="350" t="s">
        <v>3714</v>
      </c>
      <c r="I238" s="24"/>
      <c r="J238" s="1284"/>
      <c r="K238" s="1284"/>
      <c r="L238" s="1284"/>
      <c r="M238" s="1284"/>
      <c r="N238" s="1284"/>
    </row>
    <row r="239" spans="1:14">
      <c r="A239" s="346"/>
      <c r="B239" s="37" t="s">
        <v>3707</v>
      </c>
      <c r="C239" s="1304">
        <f>C233/12</f>
        <v>0.75416666666666676</v>
      </c>
      <c r="D239" s="24" t="s">
        <v>459</v>
      </c>
      <c r="F239" s="24"/>
      <c r="G239" s="24"/>
      <c r="H239" s="350" t="s">
        <v>3715</v>
      </c>
      <c r="I239" s="24"/>
      <c r="J239" s="1284"/>
      <c r="K239" s="1284"/>
      <c r="L239" s="1284"/>
      <c r="M239" s="1284"/>
      <c r="N239" s="1284"/>
    </row>
    <row r="240" spans="1:14">
      <c r="A240" s="346"/>
      <c r="B240" s="37" t="s">
        <v>3729</v>
      </c>
      <c r="C240" s="1305">
        <f>PV(C239/100,C234,C235,C236,1)</f>
        <v>6842.968548925548</v>
      </c>
      <c r="D240" s="24"/>
      <c r="E240" s="24" t="s">
        <v>3728</v>
      </c>
      <c r="F240" s="24"/>
      <c r="G240" s="24"/>
      <c r="H240" s="350" t="s">
        <v>3725</v>
      </c>
      <c r="I240" s="24"/>
      <c r="J240" s="1284"/>
      <c r="K240" s="1284"/>
      <c r="L240" s="1284"/>
      <c r="M240" s="1284"/>
      <c r="N240" s="1284"/>
    </row>
    <row r="241" spans="1:14">
      <c r="A241" s="346"/>
      <c r="B241" s="24"/>
      <c r="C241" s="24"/>
      <c r="D241" s="24"/>
      <c r="E241" s="24"/>
      <c r="F241" s="24"/>
      <c r="G241" s="24"/>
      <c r="H241" s="350" t="s">
        <v>3717</v>
      </c>
      <c r="I241" s="24"/>
      <c r="J241" s="1284"/>
      <c r="K241" s="1284"/>
      <c r="L241" s="1284"/>
      <c r="M241" s="1284"/>
      <c r="N241" s="1284"/>
    </row>
    <row r="242" spans="1:14">
      <c r="A242" s="346"/>
      <c r="B242" s="24"/>
      <c r="C242" s="24"/>
      <c r="D242" s="24"/>
      <c r="E242" s="24"/>
      <c r="F242" s="24"/>
      <c r="G242" s="24"/>
      <c r="H242" s="24"/>
      <c r="I242" s="24"/>
      <c r="J242" s="1284"/>
      <c r="K242" s="1284"/>
      <c r="L242" s="1284"/>
      <c r="M242" s="1284"/>
      <c r="N242" s="1284"/>
    </row>
    <row r="243" spans="1:14">
      <c r="A243" s="346"/>
      <c r="C243" s="24"/>
      <c r="D243" s="24"/>
      <c r="E243" s="24"/>
      <c r="F243" s="24"/>
      <c r="G243" s="24"/>
      <c r="H243" s="24"/>
      <c r="I243" s="24"/>
      <c r="J243" s="1284"/>
      <c r="K243" s="1284"/>
      <c r="L243" s="1284"/>
      <c r="M243" s="1284"/>
      <c r="N243" s="1284"/>
    </row>
    <row r="244" spans="1:14">
      <c r="A244" s="1282"/>
      <c r="B244" s="24" t="s">
        <v>3734</v>
      </c>
      <c r="C244" s="1277"/>
      <c r="D244" s="1275"/>
      <c r="E244" s="1284"/>
      <c r="F244" s="1284"/>
      <c r="G244" s="1284"/>
      <c r="H244" s="1284"/>
      <c r="I244" s="1284"/>
      <c r="J244" s="1284"/>
      <c r="K244" s="1284"/>
      <c r="L244" s="1284"/>
      <c r="M244" s="1284"/>
      <c r="N244" s="1284"/>
    </row>
    <row r="245" spans="1:14">
      <c r="A245" s="1282"/>
      <c r="B245" s="24" t="s">
        <v>3735</v>
      </c>
      <c r="C245" s="1277"/>
      <c r="D245" s="1275"/>
      <c r="E245" s="1284"/>
      <c r="F245" s="1284"/>
      <c r="G245" s="1284"/>
      <c r="H245" s="1284"/>
      <c r="I245" s="1284"/>
      <c r="J245" s="1284"/>
      <c r="K245" s="1284"/>
      <c r="L245" s="1284"/>
      <c r="M245" s="1284"/>
      <c r="N245" s="1284"/>
    </row>
    <row r="246" spans="1:14">
      <c r="A246" s="1282"/>
      <c r="C246" s="1277"/>
      <c r="D246" s="1275"/>
      <c r="E246" s="1284"/>
      <c r="F246" s="1284"/>
      <c r="G246" s="1284"/>
      <c r="H246" s="1284"/>
      <c r="I246" s="1284"/>
      <c r="J246" s="1284"/>
      <c r="K246" s="1284"/>
      <c r="L246" s="1284"/>
      <c r="M246" s="1284"/>
      <c r="N246" s="1284"/>
    </row>
    <row r="247" spans="1:14">
      <c r="A247" s="1282"/>
      <c r="B247" s="1283"/>
      <c r="C247" s="1283"/>
      <c r="D247" s="1283"/>
      <c r="E247" s="1283"/>
      <c r="F247" s="1283"/>
      <c r="G247" s="1283"/>
      <c r="H247" s="1283"/>
      <c r="I247" s="1284"/>
      <c r="J247" s="1284"/>
      <c r="K247" s="1283"/>
      <c r="L247" s="1284"/>
      <c r="M247" s="1284"/>
      <c r="N247" s="1284"/>
    </row>
    <row r="248" spans="1:14">
      <c r="A248" s="1282"/>
      <c r="B248" s="37" t="s">
        <v>3679</v>
      </c>
      <c r="C248" s="1288">
        <v>5</v>
      </c>
      <c r="D248" s="24" t="s">
        <v>459</v>
      </c>
      <c r="E248" s="24"/>
      <c r="F248" s="24"/>
      <c r="G248" s="24"/>
      <c r="H248" s="24"/>
      <c r="I248" s="24"/>
      <c r="J248" s="1284"/>
      <c r="K248" s="1283"/>
      <c r="L248" s="1284"/>
      <c r="M248" s="1284"/>
      <c r="N248" s="1284"/>
    </row>
    <row r="249" spans="1:14">
      <c r="A249" s="1282"/>
      <c r="B249" s="37" t="s">
        <v>3702</v>
      </c>
      <c r="C249" s="1292">
        <v>60</v>
      </c>
      <c r="D249" s="24" t="s">
        <v>3693</v>
      </c>
      <c r="E249" s="24"/>
      <c r="F249" s="24"/>
      <c r="G249" s="24"/>
      <c r="H249" s="24"/>
      <c r="I249" s="24"/>
      <c r="J249" s="1284"/>
      <c r="K249" s="1283"/>
      <c r="L249" s="1284"/>
      <c r="M249" s="1284"/>
      <c r="N249" s="1284"/>
    </row>
    <row r="250" spans="1:14">
      <c r="A250" s="1282"/>
      <c r="B250" s="37" t="s">
        <v>3726</v>
      </c>
      <c r="C250" s="1288">
        <v>0</v>
      </c>
      <c r="D250" s="24" t="s">
        <v>3660</v>
      </c>
      <c r="E250" s="65" t="s">
        <v>3727</v>
      </c>
      <c r="F250" s="24"/>
      <c r="G250" s="24"/>
      <c r="H250" s="24"/>
      <c r="I250" s="24"/>
      <c r="J250" s="1284"/>
      <c r="K250" s="1283"/>
      <c r="L250" s="1284"/>
      <c r="M250" s="1284"/>
      <c r="N250" s="1284"/>
    </row>
    <row r="251" spans="1:14">
      <c r="A251" s="1282"/>
      <c r="B251" s="37" t="s">
        <v>3701</v>
      </c>
      <c r="C251" s="1288">
        <v>13657.89</v>
      </c>
      <c r="D251" s="24" t="s">
        <v>3660</v>
      </c>
      <c r="E251" s="24"/>
      <c r="F251" s="24"/>
      <c r="G251" s="24"/>
      <c r="H251" s="24"/>
      <c r="I251" s="24"/>
      <c r="J251" s="1284"/>
      <c r="K251" s="1283"/>
      <c r="L251" s="1284"/>
      <c r="M251" s="1284"/>
      <c r="N251" s="1284"/>
    </row>
    <row r="252" spans="1:14">
      <c r="A252" s="1282"/>
      <c r="B252" s="37" t="s">
        <v>3703</v>
      </c>
      <c r="C252" s="1292">
        <v>0</v>
      </c>
      <c r="D252" s="24"/>
      <c r="E252" s="24"/>
      <c r="F252" s="24"/>
      <c r="G252" s="24"/>
      <c r="H252" s="350" t="s">
        <v>3713</v>
      </c>
      <c r="I252" s="24"/>
      <c r="J252" s="1284"/>
      <c r="K252" s="1283"/>
      <c r="L252" s="1284"/>
      <c r="M252" s="1284"/>
      <c r="N252" s="1284"/>
    </row>
    <row r="253" spans="1:14">
      <c r="A253" s="1282"/>
      <c r="B253" s="24"/>
      <c r="C253" s="24"/>
      <c r="D253" s="24"/>
      <c r="E253" s="24"/>
      <c r="F253" s="24"/>
      <c r="G253" s="24"/>
      <c r="H253" s="350" t="s">
        <v>3714</v>
      </c>
      <c r="I253" s="24"/>
      <c r="J253" s="1284"/>
      <c r="K253" s="1283"/>
      <c r="L253" s="1284"/>
      <c r="M253" s="1284"/>
      <c r="N253" s="1284"/>
    </row>
    <row r="254" spans="1:14">
      <c r="A254" s="1282"/>
      <c r="B254" s="37" t="s">
        <v>3707</v>
      </c>
      <c r="C254" s="1304">
        <f>C248/12</f>
        <v>0.41666666666666669</v>
      </c>
      <c r="D254" s="24" t="s">
        <v>459</v>
      </c>
      <c r="F254" s="24"/>
      <c r="G254" s="24"/>
      <c r="H254" s="350" t="s">
        <v>3715</v>
      </c>
      <c r="I254" s="24"/>
      <c r="J254" s="1284"/>
      <c r="K254" s="1283"/>
      <c r="L254" s="1284"/>
      <c r="M254" s="1284"/>
      <c r="N254" s="1284"/>
    </row>
    <row r="255" spans="1:14">
      <c r="A255" s="1282"/>
      <c r="B255" s="37" t="s">
        <v>3729</v>
      </c>
      <c r="C255" s="1305">
        <f>PV(C254/100,C249,C250,C251,1)</f>
        <v>-10642.301508356226</v>
      </c>
      <c r="D255" s="24"/>
      <c r="E255" s="24" t="s">
        <v>3728</v>
      </c>
      <c r="F255" s="24"/>
      <c r="G255" s="24"/>
      <c r="H255" s="350" t="s">
        <v>3725</v>
      </c>
      <c r="I255" s="24"/>
      <c r="J255" s="1284"/>
      <c r="K255" s="1283"/>
      <c r="L255" s="1284"/>
      <c r="M255" s="1284"/>
      <c r="N255" s="1284"/>
    </row>
    <row r="256" spans="1:14">
      <c r="A256" s="1282"/>
      <c r="B256" s="37"/>
      <c r="C256" s="1305"/>
      <c r="D256" s="24"/>
      <c r="E256" s="24"/>
      <c r="F256" s="24"/>
      <c r="G256" s="24"/>
      <c r="H256" s="350" t="s">
        <v>3717</v>
      </c>
      <c r="I256" s="24"/>
      <c r="J256" s="1284"/>
      <c r="K256" s="1283"/>
      <c r="L256" s="1284"/>
      <c r="M256" s="1284"/>
      <c r="N256" s="1284"/>
    </row>
    <row r="257" spans="1:14">
      <c r="A257" s="1282"/>
      <c r="B257" s="37"/>
      <c r="C257" s="1305"/>
      <c r="D257" s="24"/>
      <c r="E257" s="24"/>
      <c r="F257" s="24"/>
      <c r="G257" s="24"/>
      <c r="H257" s="350"/>
      <c r="I257" s="24"/>
      <c r="J257" s="1284"/>
      <c r="K257" s="1283"/>
      <c r="L257" s="1284"/>
      <c r="M257" s="1284"/>
      <c r="N257" s="1284"/>
    </row>
    <row r="258" spans="1:14">
      <c r="A258" s="1282"/>
      <c r="B258" s="24"/>
      <c r="C258" s="24"/>
      <c r="D258" s="24"/>
      <c r="E258" s="24"/>
      <c r="F258" s="24"/>
      <c r="G258" s="24"/>
      <c r="H258" s="1283"/>
      <c r="I258" s="24"/>
      <c r="J258" s="1284"/>
      <c r="K258" s="1283"/>
      <c r="L258" s="1284"/>
      <c r="M258" s="1284"/>
      <c r="N258" s="1284"/>
    </row>
    <row r="259" spans="1:14">
      <c r="A259" s="1282"/>
      <c r="B259" s="62" t="s">
        <v>3750</v>
      </c>
      <c r="C259" s="24"/>
      <c r="D259" s="24"/>
      <c r="E259" s="24"/>
      <c r="F259" s="24"/>
      <c r="G259" s="24"/>
      <c r="H259" s="1283"/>
      <c r="I259" s="24"/>
      <c r="J259" s="1284"/>
      <c r="K259" s="1283"/>
      <c r="L259" s="1284"/>
      <c r="M259" s="1284"/>
      <c r="N259" s="1284"/>
    </row>
    <row r="260" spans="1:14">
      <c r="A260" s="1282"/>
      <c r="B260" s="1251" t="s">
        <v>3747</v>
      </c>
      <c r="C260" s="24"/>
      <c r="D260" s="24"/>
      <c r="E260" s="24"/>
      <c r="F260" s="24"/>
      <c r="G260" s="24"/>
      <c r="H260" s="1283"/>
      <c r="I260" s="24"/>
      <c r="J260" s="1284"/>
      <c r="K260" s="1283"/>
      <c r="L260" s="1284"/>
      <c r="M260" s="1284"/>
      <c r="N260" s="1284"/>
    </row>
    <row r="261" spans="1:14">
      <c r="A261" s="1282"/>
      <c r="B261" s="62" t="s">
        <v>3746</v>
      </c>
      <c r="C261" s="24"/>
      <c r="D261" s="24"/>
      <c r="E261" s="24"/>
      <c r="F261" s="24"/>
      <c r="G261" s="24"/>
      <c r="H261" s="1283"/>
      <c r="I261" s="24"/>
      <c r="J261" s="1284"/>
      <c r="K261" s="1283"/>
      <c r="L261" s="1284"/>
      <c r="M261" s="1284"/>
      <c r="N261" s="1284"/>
    </row>
    <row r="262" spans="1:14">
      <c r="A262" s="1282"/>
      <c r="B262" s="24"/>
      <c r="C262" s="24"/>
      <c r="D262" s="24"/>
      <c r="E262" s="24"/>
      <c r="F262" s="24"/>
      <c r="G262" s="24"/>
      <c r="H262" s="1283"/>
      <c r="I262" s="24"/>
      <c r="J262" s="1284"/>
      <c r="K262" s="1283"/>
      <c r="L262" s="1284"/>
      <c r="M262" s="1284"/>
      <c r="N262" s="1284"/>
    </row>
    <row r="263" spans="1:14">
      <c r="A263" s="1282"/>
      <c r="B263" s="37" t="s">
        <v>3679</v>
      </c>
      <c r="C263" s="1288">
        <v>3</v>
      </c>
      <c r="D263" s="24" t="s">
        <v>459</v>
      </c>
      <c r="E263" s="24"/>
      <c r="F263" s="24"/>
      <c r="G263" s="24"/>
      <c r="H263" s="1283"/>
      <c r="I263" s="24"/>
      <c r="J263" s="1284"/>
      <c r="K263" s="1283"/>
      <c r="L263" s="1284"/>
      <c r="M263" s="1284"/>
      <c r="N263" s="1284"/>
    </row>
    <row r="264" spans="1:14">
      <c r="A264" s="1282"/>
      <c r="B264" s="37" t="s">
        <v>3702</v>
      </c>
      <c r="C264" s="1292">
        <v>5</v>
      </c>
      <c r="D264" s="24" t="s">
        <v>3676</v>
      </c>
      <c r="E264" s="24"/>
      <c r="F264" s="24"/>
      <c r="G264" s="24"/>
      <c r="H264" s="1283"/>
      <c r="I264" s="24"/>
      <c r="J264" s="1284"/>
      <c r="K264" s="1283"/>
      <c r="L264" s="1284"/>
      <c r="M264" s="1284"/>
      <c r="N264" s="1284"/>
    </row>
    <row r="265" spans="1:14">
      <c r="A265" s="1282"/>
      <c r="B265" s="37" t="s">
        <v>3726</v>
      </c>
      <c r="C265" s="1288">
        <v>-15000</v>
      </c>
      <c r="D265" s="24" t="s">
        <v>3660</v>
      </c>
      <c r="E265" s="65" t="s">
        <v>3727</v>
      </c>
      <c r="F265" s="24"/>
      <c r="G265" s="24"/>
      <c r="H265" s="1283"/>
      <c r="I265" s="24"/>
      <c r="J265" s="1284"/>
      <c r="K265" s="1283"/>
      <c r="L265" s="1284"/>
      <c r="M265" s="1284"/>
      <c r="N265" s="1284"/>
    </row>
    <row r="266" spans="1:14">
      <c r="A266" s="1282"/>
      <c r="B266" s="37" t="s">
        <v>3701</v>
      </c>
      <c r="C266" s="1288">
        <v>0</v>
      </c>
      <c r="D266" s="24" t="s">
        <v>3660</v>
      </c>
      <c r="E266" s="24" t="s">
        <v>3748</v>
      </c>
      <c r="F266" s="24"/>
      <c r="G266" s="24"/>
      <c r="H266" s="1283"/>
      <c r="I266" s="24"/>
      <c r="J266" s="1284"/>
      <c r="K266" s="1283"/>
      <c r="L266" s="1284"/>
      <c r="M266" s="1284"/>
      <c r="N266" s="1284"/>
    </row>
    <row r="267" spans="1:14">
      <c r="A267" s="1282"/>
      <c r="B267" s="37" t="s">
        <v>3703</v>
      </c>
      <c r="C267" s="1292">
        <v>0</v>
      </c>
      <c r="D267" s="24"/>
      <c r="E267" s="24" t="s">
        <v>3749</v>
      </c>
      <c r="F267" s="24"/>
      <c r="G267" s="24"/>
      <c r="H267" s="1283"/>
      <c r="I267" s="24"/>
      <c r="J267" s="1284"/>
      <c r="K267" s="1283"/>
      <c r="L267" s="1284"/>
      <c r="M267" s="1284"/>
      <c r="N267" s="1284"/>
    </row>
    <row r="268" spans="1:14">
      <c r="A268" s="1282"/>
      <c r="B268" s="1276"/>
      <c r="C268" s="1277"/>
      <c r="D268" s="1275"/>
      <c r="F268" s="24"/>
      <c r="G268" s="24"/>
      <c r="H268" s="1283"/>
      <c r="I268" s="24"/>
      <c r="J268" s="1284"/>
      <c r="K268" s="1283"/>
      <c r="L268" s="1284"/>
      <c r="M268" s="1284"/>
      <c r="N268" s="1284"/>
    </row>
    <row r="269" spans="1:14">
      <c r="A269" s="1282"/>
      <c r="B269" s="37" t="s">
        <v>3729</v>
      </c>
      <c r="C269" s="1305">
        <f>PV(C263/100,C264,C265,C266,C267)</f>
        <v>68695.607807917957</v>
      </c>
      <c r="D269" s="24"/>
      <c r="E269" s="24" t="s">
        <v>3728</v>
      </c>
      <c r="F269" s="24"/>
      <c r="G269" s="24"/>
      <c r="H269" s="1283"/>
      <c r="I269" s="24"/>
      <c r="J269" s="1284"/>
      <c r="K269" s="1283"/>
      <c r="L269" s="1284"/>
      <c r="M269" s="1284"/>
      <c r="N269" s="1284"/>
    </row>
    <row r="270" spans="1:14">
      <c r="A270" s="1282"/>
      <c r="B270" s="1285"/>
      <c r="C270" s="1283"/>
      <c r="D270" s="1283"/>
      <c r="E270" s="1283"/>
      <c r="F270" s="1283"/>
      <c r="G270" s="24"/>
      <c r="H270" s="1283"/>
      <c r="I270" s="24"/>
      <c r="J270" s="1284"/>
      <c r="K270" s="1283"/>
      <c r="L270" s="1284"/>
      <c r="M270" s="1284"/>
      <c r="N270" s="1284"/>
    </row>
    <row r="271" spans="1:14">
      <c r="A271" s="1282"/>
      <c r="B271" s="1285"/>
      <c r="C271" s="1283"/>
      <c r="D271" s="1283"/>
      <c r="E271" s="1283"/>
      <c r="F271" s="1283"/>
      <c r="G271" s="24"/>
      <c r="H271" s="1283"/>
      <c r="I271" s="24"/>
      <c r="J271" s="1284"/>
      <c r="K271" s="1283"/>
      <c r="L271" s="1284"/>
      <c r="M271" s="1284"/>
      <c r="N271" s="1284"/>
    </row>
    <row r="272" spans="1:14">
      <c r="A272" s="1282"/>
      <c r="B272" s="1251"/>
      <c r="C272" s="1283"/>
      <c r="D272" s="1283"/>
      <c r="E272" s="1283"/>
      <c r="F272" s="1283"/>
      <c r="G272" s="24"/>
      <c r="H272" s="1283"/>
      <c r="I272" s="24"/>
      <c r="J272" s="1284"/>
      <c r="K272" s="1283"/>
      <c r="L272" s="1284"/>
      <c r="M272" s="1284"/>
      <c r="N272" s="1284"/>
    </row>
    <row r="273" spans="1:14">
      <c r="A273" s="1282"/>
      <c r="B273" s="62" t="s">
        <v>3753</v>
      </c>
      <c r="C273" s="1283"/>
      <c r="D273" s="1283"/>
      <c r="E273" s="1283"/>
      <c r="F273" s="1283"/>
      <c r="G273" s="24"/>
      <c r="H273" s="1283"/>
      <c r="I273" s="24"/>
      <c r="J273" s="1284"/>
      <c r="K273" s="1283"/>
      <c r="L273" s="1284"/>
      <c r="M273" s="1284"/>
      <c r="N273" s="1284"/>
    </row>
    <row r="274" spans="1:14">
      <c r="A274" s="1282"/>
      <c r="B274" s="62" t="s">
        <v>3751</v>
      </c>
      <c r="C274" s="1283"/>
      <c r="D274" s="1283"/>
      <c r="E274" s="1283"/>
      <c r="F274" s="1283"/>
      <c r="G274" s="24"/>
      <c r="H274" s="1283"/>
      <c r="I274" s="24"/>
      <c r="J274" s="1284"/>
      <c r="K274" s="1283"/>
      <c r="L274" s="1284"/>
      <c r="M274" s="1284"/>
      <c r="N274" s="1284"/>
    </row>
    <row r="275" spans="1:14">
      <c r="A275" s="1282"/>
      <c r="B275" s="62" t="s">
        <v>3752</v>
      </c>
      <c r="C275" s="1283"/>
      <c r="D275" s="1283"/>
      <c r="E275" s="1283"/>
      <c r="F275" s="1283"/>
      <c r="G275" s="24"/>
      <c r="H275" s="1283"/>
      <c r="I275" s="24"/>
      <c r="J275" s="1284"/>
      <c r="K275" s="1283"/>
      <c r="L275" s="1284"/>
      <c r="M275" s="1284"/>
      <c r="N275" s="1284"/>
    </row>
    <row r="276" spans="1:14">
      <c r="A276" s="1282"/>
      <c r="B276" s="1251"/>
      <c r="C276" s="1283"/>
      <c r="D276" s="1283"/>
      <c r="E276" s="1283"/>
      <c r="F276" s="1283"/>
      <c r="G276" s="24"/>
      <c r="H276" s="1283"/>
      <c r="I276" s="24"/>
      <c r="J276" s="1284"/>
      <c r="K276" s="1283"/>
      <c r="L276" s="1284"/>
      <c r="M276" s="1284"/>
      <c r="N276" s="1284"/>
    </row>
    <row r="277" spans="1:14">
      <c r="A277" s="1282"/>
      <c r="B277" s="1285"/>
      <c r="C277" s="1283"/>
      <c r="D277" s="1283"/>
      <c r="E277" s="1283"/>
      <c r="F277" s="1283"/>
      <c r="G277" s="24"/>
      <c r="H277" s="1283"/>
      <c r="I277" s="24"/>
      <c r="J277" s="1284"/>
      <c r="K277" s="1283"/>
      <c r="L277" s="1284"/>
      <c r="M277" s="1284"/>
      <c r="N277" s="1284"/>
    </row>
    <row r="278" spans="1:14">
      <c r="A278" s="1282"/>
      <c r="B278" s="37" t="s">
        <v>3679</v>
      </c>
      <c r="C278" s="1288">
        <v>1.5</v>
      </c>
      <c r="D278" s="24" t="s">
        <v>459</v>
      </c>
      <c r="E278" s="24"/>
      <c r="F278" s="1283"/>
      <c r="G278" s="24"/>
      <c r="H278" s="1283"/>
      <c r="I278" s="24"/>
      <c r="J278" s="1284"/>
      <c r="K278" s="1283"/>
      <c r="L278" s="1284"/>
      <c r="M278" s="1284"/>
      <c r="N278" s="1284"/>
    </row>
    <row r="279" spans="1:14">
      <c r="A279" s="1282"/>
      <c r="B279" s="37" t="s">
        <v>3702</v>
      </c>
      <c r="C279" s="1292">
        <f>15*12</f>
        <v>180</v>
      </c>
      <c r="D279" s="24" t="s">
        <v>3693</v>
      </c>
      <c r="E279" s="24"/>
      <c r="F279" s="1283"/>
      <c r="G279" s="24"/>
      <c r="H279" s="1283"/>
      <c r="I279" s="24"/>
      <c r="J279" s="1284"/>
      <c r="K279" s="1283"/>
      <c r="L279" s="1284"/>
      <c r="M279" s="1284"/>
      <c r="N279" s="1284"/>
    </row>
    <row r="280" spans="1:14">
      <c r="A280" s="1282"/>
      <c r="B280" s="37" t="s">
        <v>3726</v>
      </c>
      <c r="C280" s="1288">
        <v>-350</v>
      </c>
      <c r="D280" s="24" t="s">
        <v>3660</v>
      </c>
      <c r="E280" s="65" t="s">
        <v>3727</v>
      </c>
      <c r="F280" s="1283"/>
      <c r="G280" s="24"/>
      <c r="H280" s="1283"/>
      <c r="I280" s="24"/>
      <c r="J280" s="1284"/>
      <c r="K280" s="1283"/>
      <c r="L280" s="1284"/>
      <c r="M280" s="1284"/>
      <c r="N280" s="1284"/>
    </row>
    <row r="281" spans="1:14">
      <c r="A281" s="1282"/>
      <c r="B281" s="37" t="s">
        <v>3701</v>
      </c>
      <c r="C281" s="1288">
        <v>0</v>
      </c>
      <c r="D281" s="24" t="s">
        <v>3660</v>
      </c>
      <c r="E281" s="24" t="s">
        <v>3748</v>
      </c>
      <c r="F281" s="1283"/>
      <c r="G281" s="24"/>
      <c r="H281" s="1283"/>
      <c r="I281" s="24"/>
      <c r="J281" s="1284"/>
      <c r="K281" s="1283"/>
      <c r="L281" s="1284"/>
      <c r="M281" s="1284"/>
      <c r="N281" s="1284"/>
    </row>
    <row r="282" spans="1:14">
      <c r="A282" s="1282"/>
      <c r="B282" s="37" t="s">
        <v>3703</v>
      </c>
      <c r="C282" s="1292">
        <v>0</v>
      </c>
      <c r="D282" s="24"/>
      <c r="E282" s="24" t="s">
        <v>3749</v>
      </c>
      <c r="F282" s="1283"/>
      <c r="G282" s="24"/>
      <c r="H282" s="1283"/>
      <c r="I282" s="24"/>
      <c r="J282" s="1284"/>
      <c r="K282" s="1283"/>
      <c r="L282" s="1284"/>
      <c r="M282" s="1284"/>
      <c r="N282" s="1284"/>
    </row>
    <row r="283" spans="1:14">
      <c r="A283" s="1282"/>
      <c r="B283" s="1276"/>
      <c r="C283" s="1277"/>
      <c r="D283" s="1275"/>
      <c r="E283" s="1284"/>
      <c r="F283" s="1283"/>
      <c r="G283" s="24"/>
      <c r="H283" s="1283"/>
      <c r="I283" s="24"/>
      <c r="J283" s="1284"/>
      <c r="K283" s="1283"/>
      <c r="L283" s="1284"/>
      <c r="M283" s="1284"/>
      <c r="N283" s="1284"/>
    </row>
    <row r="284" spans="1:14">
      <c r="A284" s="1282"/>
      <c r="B284" s="37" t="s">
        <v>3707</v>
      </c>
      <c r="C284" s="1304">
        <f>C278/12</f>
        <v>0.125</v>
      </c>
      <c r="D284" s="24" t="s">
        <v>459</v>
      </c>
      <c r="E284" s="1251"/>
      <c r="F284" s="1283"/>
      <c r="G284" s="24"/>
      <c r="H284" s="1283"/>
      <c r="I284" s="24"/>
      <c r="J284" s="1284"/>
      <c r="K284" s="1283"/>
      <c r="L284" s="1284"/>
      <c r="M284" s="1284"/>
      <c r="N284" s="1284"/>
    </row>
    <row r="285" spans="1:14">
      <c r="A285" s="1282"/>
      <c r="B285" s="37" t="s">
        <v>3729</v>
      </c>
      <c r="C285" s="1305">
        <f>PV(C284/100,C279,C280,C281,C282)</f>
        <v>56384.041140874324</v>
      </c>
      <c r="D285" s="1283"/>
      <c r="E285" s="24" t="s">
        <v>3728</v>
      </c>
      <c r="F285" s="1283"/>
      <c r="G285" s="24"/>
      <c r="H285" s="1283"/>
      <c r="I285" s="24"/>
      <c r="J285" s="1284"/>
      <c r="K285" s="1283"/>
      <c r="L285" s="1284"/>
      <c r="M285" s="1284"/>
      <c r="N285" s="1284"/>
    </row>
    <row r="286" spans="1:14">
      <c r="A286" s="1282"/>
      <c r="B286" s="1251"/>
      <c r="C286" s="1283"/>
      <c r="D286" s="1283"/>
      <c r="E286" s="1283"/>
      <c r="F286" s="1283"/>
      <c r="G286" s="24"/>
      <c r="H286" s="1283"/>
      <c r="I286" s="24"/>
      <c r="J286" s="1284"/>
      <c r="K286" s="1283"/>
      <c r="L286" s="1284"/>
      <c r="M286" s="1284"/>
      <c r="N286" s="1284"/>
    </row>
    <row r="287" spans="1:14">
      <c r="A287" s="1282"/>
      <c r="B287" s="62" t="str">
        <f>"Die BW-Funktion zeigt, dass wir bei Auszahlungsbeginn mindestens " &amp; ROUND(C285,2) &amp; " Euro auf der hohen Kante haben müssten."</f>
        <v>Die BW-Funktion zeigt, dass wir bei Auszahlungsbeginn mindestens 56384,04 Euro auf der hohen Kante haben müssten.</v>
      </c>
      <c r="C287" s="24"/>
      <c r="D287" s="24"/>
      <c r="E287" s="24"/>
      <c r="F287" s="24"/>
      <c r="G287" s="24"/>
      <c r="H287" s="1283"/>
      <c r="I287" s="24"/>
      <c r="J287" s="1284"/>
      <c r="K287" s="1283"/>
      <c r="L287" s="1284"/>
      <c r="M287" s="1284"/>
      <c r="N287" s="1284"/>
    </row>
    <row r="288" spans="1:14">
      <c r="A288" s="1282"/>
      <c r="B288" s="62"/>
      <c r="C288" s="24"/>
      <c r="D288" s="24"/>
      <c r="E288" s="24"/>
      <c r="F288" s="24"/>
      <c r="G288" s="24"/>
      <c r="H288" s="1283"/>
      <c r="I288" s="24"/>
      <c r="J288" s="1284"/>
      <c r="K288" s="1283"/>
      <c r="L288" s="1284"/>
      <c r="M288" s="1284"/>
      <c r="N288" s="1284"/>
    </row>
    <row r="289" spans="1:14">
      <c r="A289" s="1282"/>
      <c r="B289" s="62"/>
      <c r="C289" s="24"/>
      <c r="D289" s="24"/>
      <c r="E289" s="24"/>
      <c r="F289" s="24"/>
      <c r="G289" s="24"/>
      <c r="H289" s="1283"/>
      <c r="I289" s="24"/>
      <c r="J289" s="1284"/>
      <c r="K289" s="1283"/>
      <c r="L289" s="1284"/>
      <c r="M289" s="1284"/>
      <c r="N289" s="1284"/>
    </row>
    <row r="290" spans="1:14">
      <c r="A290" s="1282"/>
      <c r="B290" s="62"/>
      <c r="C290" s="24"/>
      <c r="D290" s="24"/>
      <c r="E290" s="24"/>
      <c r="F290" s="24"/>
      <c r="G290" s="24"/>
      <c r="H290" s="1283"/>
      <c r="I290" s="24"/>
      <c r="J290" s="1284"/>
      <c r="K290" s="1283"/>
      <c r="L290" s="1284"/>
      <c r="M290" s="1284"/>
      <c r="N290" s="1284"/>
    </row>
    <row r="291" spans="1:14">
      <c r="A291" s="1282"/>
      <c r="B291" s="24" t="s">
        <v>3730</v>
      </c>
      <c r="C291" s="1283"/>
      <c r="D291" s="1283"/>
      <c r="E291" s="1283"/>
      <c r="F291" s="1283"/>
      <c r="G291" s="1283"/>
      <c r="H291" s="1283"/>
      <c r="I291" s="1284"/>
      <c r="J291" s="1284"/>
      <c r="K291" s="1283"/>
      <c r="L291" s="1284"/>
      <c r="M291" s="1284"/>
      <c r="N291" s="1284"/>
    </row>
    <row r="292" spans="1:14">
      <c r="A292" s="1282"/>
      <c r="B292" s="62" t="s">
        <v>3656</v>
      </c>
      <c r="C292" s="1283"/>
      <c r="D292" s="1283"/>
      <c r="E292" s="1283"/>
      <c r="F292" s="1283"/>
      <c r="G292" s="1283"/>
      <c r="H292" s="1283"/>
      <c r="I292" s="1284"/>
      <c r="J292" s="1284"/>
      <c r="K292" s="1283"/>
      <c r="L292" s="1284"/>
      <c r="M292" s="1284"/>
      <c r="N292" s="1284"/>
    </row>
    <row r="293" spans="1:14">
      <c r="A293" s="1282"/>
      <c r="B293" s="24" t="s">
        <v>3731</v>
      </c>
      <c r="C293" s="1283"/>
      <c r="D293" s="1283"/>
      <c r="E293" s="1283"/>
      <c r="F293" s="1283"/>
      <c r="G293" s="1283"/>
      <c r="H293" s="1283"/>
      <c r="I293" s="1284"/>
      <c r="J293" s="1284"/>
      <c r="K293" s="1283"/>
      <c r="L293" s="1284"/>
      <c r="M293" s="1284"/>
      <c r="N293" s="1284"/>
    </row>
    <row r="294" spans="1:14">
      <c r="A294" s="1282"/>
      <c r="B294" s="24"/>
      <c r="C294" s="1283"/>
      <c r="D294" s="1283"/>
      <c r="E294" s="1283"/>
      <c r="F294" s="1283"/>
      <c r="G294" s="1283"/>
      <c r="H294" s="1283"/>
      <c r="I294" s="1284"/>
      <c r="J294" s="1284"/>
      <c r="K294" s="1283"/>
      <c r="L294" s="1284"/>
      <c r="M294" s="1284"/>
      <c r="N294" s="1284"/>
    </row>
    <row r="295" spans="1:14">
      <c r="A295" s="37"/>
      <c r="B295" s="37"/>
      <c r="C295" s="1305"/>
      <c r="D295" s="24"/>
      <c r="E295" s="24"/>
      <c r="F295" s="24"/>
      <c r="G295" s="24"/>
      <c r="H295" s="350"/>
      <c r="I295" s="1284"/>
      <c r="J295" s="1284"/>
      <c r="K295" s="1283"/>
      <c r="L295" s="1284"/>
      <c r="M295" s="1284"/>
      <c r="N295" s="1284"/>
    </row>
    <row r="296" spans="1:14">
      <c r="A296" s="37" t="s">
        <v>389</v>
      </c>
      <c r="B296" s="37" t="s">
        <v>3736</v>
      </c>
      <c r="C296" s="1288">
        <v>60000</v>
      </c>
      <c r="D296" s="24" t="s">
        <v>3660</v>
      </c>
      <c r="E296" s="1283"/>
      <c r="F296" s="1283"/>
      <c r="G296" s="1283"/>
      <c r="H296" s="1251"/>
      <c r="I296" s="1284"/>
      <c r="J296" s="1284"/>
      <c r="K296" s="1283"/>
      <c r="L296" s="1284"/>
      <c r="M296" s="1284"/>
      <c r="N296" s="1284"/>
    </row>
    <row r="297" spans="1:14">
      <c r="A297" s="1283"/>
      <c r="B297" s="37" t="s">
        <v>3679</v>
      </c>
      <c r="C297" s="1288">
        <v>8</v>
      </c>
      <c r="D297" s="24" t="s">
        <v>459</v>
      </c>
      <c r="F297" s="1283"/>
      <c r="G297" s="1283"/>
      <c r="H297" s="1283"/>
      <c r="I297" s="1284"/>
      <c r="J297" s="1284"/>
      <c r="K297" s="1283"/>
      <c r="L297" s="1284"/>
      <c r="M297" s="1284"/>
      <c r="N297" s="1284"/>
    </row>
    <row r="298" spans="1:14">
      <c r="A298" s="1251"/>
      <c r="B298" s="37" t="s">
        <v>3702</v>
      </c>
      <c r="C298" s="1292">
        <v>20</v>
      </c>
      <c r="D298" s="24" t="s">
        <v>3676</v>
      </c>
      <c r="E298" s="1284"/>
      <c r="F298" s="1283"/>
      <c r="G298" s="1283"/>
      <c r="H298" s="1283"/>
      <c r="I298" s="1284"/>
      <c r="J298" s="1284"/>
      <c r="K298" s="1283"/>
      <c r="L298" s="1284"/>
      <c r="M298" s="1284"/>
      <c r="N298" s="1284"/>
    </row>
    <row r="299" spans="1:14">
      <c r="A299" s="1282"/>
      <c r="B299" s="1276"/>
      <c r="C299" s="1277"/>
      <c r="D299" s="1275"/>
      <c r="E299" s="1284"/>
      <c r="F299" s="1283"/>
      <c r="G299" s="1283"/>
      <c r="H299" s="1283"/>
      <c r="I299" s="1284"/>
      <c r="J299" s="1284"/>
      <c r="K299" s="1283"/>
      <c r="L299" s="1284"/>
      <c r="M299" s="1284"/>
      <c r="N299" s="1284"/>
    </row>
    <row r="300" spans="1:14">
      <c r="A300" s="1282"/>
      <c r="B300" s="37" t="s">
        <v>3707</v>
      </c>
      <c r="C300" s="1304">
        <f>C297/12</f>
        <v>0.66666666666666663</v>
      </c>
      <c r="D300" s="24" t="s">
        <v>459</v>
      </c>
      <c r="E300" s="1251"/>
      <c r="F300" s="1283"/>
      <c r="G300" s="1283"/>
      <c r="H300" s="1283"/>
      <c r="I300" s="1284"/>
      <c r="J300" s="1284"/>
      <c r="K300" s="1283"/>
      <c r="L300" s="1284"/>
      <c r="M300" s="1284"/>
      <c r="N300" s="1284"/>
    </row>
    <row r="301" spans="1:14">
      <c r="A301" s="1282"/>
      <c r="B301" s="37" t="s">
        <v>3737</v>
      </c>
      <c r="C301" s="1308">
        <f>C296*(1+C297/100)^(C298)</f>
        <v>279657.42863095837</v>
      </c>
      <c r="D301" s="24" t="s">
        <v>3660</v>
      </c>
      <c r="E301" s="62" t="s">
        <v>3685</v>
      </c>
      <c r="F301" s="1283"/>
      <c r="G301" s="1283"/>
      <c r="H301" s="1283"/>
      <c r="I301" s="1284"/>
      <c r="J301" s="1284"/>
      <c r="K301" s="1283"/>
      <c r="L301" s="1284"/>
      <c r="M301" s="1284"/>
      <c r="N301" s="1284"/>
    </row>
    <row r="302" spans="1:14">
      <c r="A302" s="1282"/>
      <c r="B302" s="37"/>
      <c r="C302" s="1306"/>
      <c r="D302" s="24"/>
      <c r="E302" s="62"/>
      <c r="F302" s="1283"/>
      <c r="G302" s="1283"/>
      <c r="H302" s="1283"/>
      <c r="I302" s="1284"/>
      <c r="J302" s="1284"/>
      <c r="K302" s="1283"/>
      <c r="L302" s="1284"/>
      <c r="M302" s="1284"/>
      <c r="N302" s="1284"/>
    </row>
    <row r="303" spans="1:14">
      <c r="A303" s="1282"/>
      <c r="B303" s="37"/>
      <c r="C303" s="1306"/>
      <c r="D303" s="24"/>
      <c r="E303" s="62"/>
      <c r="F303" s="1283"/>
      <c r="G303" s="1283"/>
      <c r="H303" s="1283"/>
      <c r="I303" s="1284"/>
      <c r="J303" s="1284"/>
      <c r="K303" s="1283"/>
      <c r="L303" s="1284"/>
      <c r="M303" s="1284"/>
      <c r="N303" s="1284"/>
    </row>
    <row r="304" spans="1:14">
      <c r="A304" s="1282"/>
      <c r="B304" s="37"/>
      <c r="C304" s="1306"/>
      <c r="D304" s="24"/>
      <c r="E304" s="62"/>
      <c r="F304" s="1283"/>
      <c r="G304" s="1283"/>
      <c r="H304" s="1283"/>
      <c r="I304" s="1284"/>
      <c r="J304" s="1284"/>
      <c r="K304" s="1283"/>
      <c r="L304" s="1284"/>
      <c r="M304" s="1284"/>
      <c r="N304" s="1284"/>
    </row>
    <row r="305" spans="1:14">
      <c r="A305" s="1282"/>
      <c r="B305" s="37"/>
      <c r="C305" s="1306"/>
      <c r="D305" s="24"/>
      <c r="E305" s="62"/>
      <c r="F305" s="1283"/>
      <c r="G305" s="1283"/>
      <c r="H305" s="1283"/>
      <c r="I305" s="1284"/>
      <c r="J305" s="1284"/>
      <c r="K305" s="1283"/>
      <c r="L305" s="1284"/>
      <c r="M305" s="1284"/>
      <c r="N305" s="1284"/>
    </row>
    <row r="306" spans="1:14">
      <c r="A306" s="37" t="s">
        <v>391</v>
      </c>
      <c r="B306" s="37" t="s">
        <v>3679</v>
      </c>
      <c r="C306" s="1288">
        <v>8</v>
      </c>
      <c r="D306" s="24" t="s">
        <v>459</v>
      </c>
      <c r="E306" s="24"/>
      <c r="F306" s="1287"/>
      <c r="G306" s="24"/>
      <c r="H306" s="24"/>
      <c r="I306" s="1284"/>
      <c r="J306" s="1284"/>
      <c r="K306" s="1283"/>
      <c r="L306" s="1284"/>
      <c r="M306" s="1284"/>
      <c r="N306" s="1284"/>
    </row>
    <row r="307" spans="1:14">
      <c r="A307" s="1282"/>
      <c r="B307" s="37" t="s">
        <v>3702</v>
      </c>
      <c r="C307" s="1292">
        <v>240</v>
      </c>
      <c r="D307" s="24" t="s">
        <v>3693</v>
      </c>
      <c r="E307" s="24"/>
      <c r="F307" s="1287"/>
      <c r="G307" s="24"/>
      <c r="H307" s="24"/>
      <c r="I307" s="1284"/>
      <c r="J307" s="1284"/>
      <c r="K307" s="1283"/>
      <c r="L307" s="1284"/>
      <c r="M307" s="1284"/>
      <c r="N307" s="1284"/>
    </row>
    <row r="308" spans="1:14">
      <c r="A308" s="1282"/>
      <c r="B308" s="37" t="s">
        <v>3726</v>
      </c>
      <c r="C308" s="1288">
        <v>-500</v>
      </c>
      <c r="D308" s="24" t="s">
        <v>3660</v>
      </c>
      <c r="E308" s="65" t="s">
        <v>3727</v>
      </c>
      <c r="F308" s="1287"/>
      <c r="G308" s="24"/>
      <c r="H308" s="24"/>
      <c r="I308" s="1284"/>
      <c r="J308" s="1284"/>
      <c r="K308" s="1283"/>
      <c r="L308" s="1284"/>
      <c r="M308" s="1284"/>
      <c r="N308" s="1284"/>
    </row>
    <row r="309" spans="1:14">
      <c r="A309" s="1282"/>
      <c r="B309" s="37" t="s">
        <v>3701</v>
      </c>
      <c r="C309" s="1288">
        <v>0</v>
      </c>
      <c r="D309" s="24" t="s">
        <v>3660</v>
      </c>
      <c r="E309" s="24"/>
      <c r="F309" s="1287"/>
      <c r="G309" s="24"/>
      <c r="H309" s="24"/>
      <c r="I309" s="1284"/>
      <c r="J309" s="1284"/>
      <c r="K309" s="1283"/>
      <c r="L309" s="1284"/>
      <c r="M309" s="1284"/>
      <c r="N309" s="1284"/>
    </row>
    <row r="310" spans="1:14">
      <c r="A310" s="1282"/>
      <c r="B310" s="37" t="s">
        <v>3703</v>
      </c>
      <c r="C310" s="1292">
        <v>0</v>
      </c>
      <c r="D310" s="24"/>
      <c r="E310" s="24"/>
      <c r="F310" s="1287"/>
      <c r="G310" s="24"/>
      <c r="H310" s="24"/>
      <c r="I310" s="1284"/>
      <c r="J310" s="1284"/>
      <c r="K310" s="1283"/>
      <c r="L310" s="1284"/>
      <c r="M310" s="1284"/>
      <c r="N310" s="1284"/>
    </row>
    <row r="311" spans="1:14">
      <c r="A311" s="1282"/>
      <c r="B311" s="1276"/>
      <c r="C311" s="1277"/>
      <c r="D311" s="1275"/>
      <c r="F311" s="1287"/>
      <c r="G311" s="24"/>
      <c r="H311" s="350" t="s">
        <v>3713</v>
      </c>
      <c r="I311" s="1284"/>
      <c r="J311" s="1284"/>
      <c r="K311" s="1283"/>
      <c r="L311" s="1284"/>
      <c r="M311" s="1284"/>
      <c r="N311" s="1284"/>
    </row>
    <row r="312" spans="1:14">
      <c r="A312" s="1282"/>
      <c r="B312" s="37" t="s">
        <v>3707</v>
      </c>
      <c r="C312" s="1304">
        <f>C306/12</f>
        <v>0.66666666666666663</v>
      </c>
      <c r="D312" s="24" t="s">
        <v>459</v>
      </c>
      <c r="E312" s="24"/>
      <c r="F312" s="1287"/>
      <c r="G312" s="24"/>
      <c r="H312" s="350" t="s">
        <v>3714</v>
      </c>
      <c r="I312" s="1284"/>
      <c r="J312" s="1284"/>
      <c r="K312" s="1283"/>
      <c r="L312" s="1284"/>
      <c r="M312" s="1284"/>
      <c r="N312" s="1284"/>
    </row>
    <row r="313" spans="1:14">
      <c r="A313" s="1282"/>
      <c r="B313" s="37" t="s">
        <v>3729</v>
      </c>
      <c r="C313" s="1305">
        <f>PV(C312/100,C307,C308,C309,C310)</f>
        <v>59777.145851187823</v>
      </c>
      <c r="D313" s="24"/>
      <c r="E313" s="24" t="s">
        <v>3728</v>
      </c>
      <c r="F313" s="1287"/>
      <c r="G313" s="24"/>
      <c r="H313" s="350" t="s">
        <v>3715</v>
      </c>
      <c r="I313" s="1284"/>
      <c r="J313" s="1284"/>
      <c r="K313" s="1283"/>
      <c r="L313" s="1284"/>
      <c r="M313" s="1284"/>
      <c r="N313" s="1284"/>
    </row>
    <row r="314" spans="1:14">
      <c r="A314" s="1282"/>
      <c r="B314" s="24"/>
      <c r="C314" s="1251"/>
      <c r="D314" s="24"/>
      <c r="E314" s="24"/>
      <c r="F314" s="1287"/>
      <c r="G314" s="24"/>
      <c r="H314" s="350" t="s">
        <v>3725</v>
      </c>
      <c r="I314" s="1284"/>
      <c r="J314" s="1284"/>
      <c r="K314" s="1283"/>
      <c r="L314" s="1284"/>
      <c r="M314" s="1284"/>
      <c r="N314" s="1284"/>
    </row>
    <row r="315" spans="1:14">
      <c r="A315" s="1282"/>
      <c r="B315" s="62" t="str">
        <f>"Die BW-Funktion zeigt, dass wir eine Auszahlung von mindestens " &amp; ROUND(C313,2) &amp; " Euro bekommen müssten."</f>
        <v>Die BW-Funktion zeigt, dass wir eine Auszahlung von mindestens 59777,15 Euro bekommen müssten.</v>
      </c>
      <c r="C315" s="1283"/>
      <c r="D315" s="24"/>
      <c r="E315" s="24"/>
      <c r="F315" s="1287"/>
      <c r="G315" s="24"/>
      <c r="H315" s="350" t="s">
        <v>3716</v>
      </c>
      <c r="I315" s="1284"/>
      <c r="J315" s="1284"/>
      <c r="K315" s="1283"/>
      <c r="L315" s="1284"/>
      <c r="M315" s="1284"/>
      <c r="N315" s="1284"/>
    </row>
    <row r="316" spans="1:14">
      <c r="A316" s="1282"/>
      <c r="B316" s="24"/>
      <c r="C316" s="24"/>
      <c r="D316" s="24"/>
      <c r="E316" s="24"/>
      <c r="F316" s="1287"/>
      <c r="G316" s="24"/>
      <c r="H316" s="350" t="s">
        <v>3717</v>
      </c>
      <c r="I316" s="1284"/>
      <c r="J316" s="1284"/>
      <c r="K316" s="1283"/>
      <c r="L316" s="1284"/>
      <c r="M316" s="1284"/>
      <c r="N316" s="1284"/>
    </row>
    <row r="317" spans="1:14">
      <c r="A317" s="1282"/>
      <c r="B317" s="37"/>
      <c r="C317" s="1283"/>
      <c r="D317" s="24"/>
      <c r="E317" s="62"/>
      <c r="F317" s="1283"/>
      <c r="G317" s="1283"/>
      <c r="H317" s="1283"/>
      <c r="I317" s="1284"/>
      <c r="J317" s="1284"/>
      <c r="K317" s="1283"/>
      <c r="L317" s="1284"/>
      <c r="M317" s="1284"/>
      <c r="N317" s="1284"/>
    </row>
    <row r="318" spans="1:14">
      <c r="A318" s="1282"/>
      <c r="B318" s="37"/>
      <c r="C318" s="1283"/>
      <c r="D318" s="24"/>
      <c r="E318" s="62"/>
      <c r="F318" s="1283"/>
      <c r="G318" s="1283"/>
      <c r="H318" s="1283"/>
      <c r="I318" s="1284"/>
      <c r="J318" s="1284"/>
      <c r="K318" s="1283"/>
      <c r="L318" s="1284"/>
      <c r="M318" s="1284"/>
      <c r="N318" s="1284"/>
    </row>
    <row r="319" spans="1:14">
      <c r="A319" s="1282"/>
      <c r="B319" s="37"/>
      <c r="C319" s="1284"/>
      <c r="D319" s="24"/>
      <c r="E319" s="62"/>
      <c r="F319" s="1283"/>
      <c r="G319" s="1283"/>
      <c r="H319" s="1283"/>
      <c r="I319" s="1284"/>
      <c r="J319" s="1284"/>
      <c r="K319" s="1283"/>
      <c r="L319" s="1284"/>
      <c r="M319" s="1284"/>
      <c r="N319" s="1284"/>
    </row>
    <row r="320" spans="1:14">
      <c r="A320" s="1282"/>
      <c r="B320" s="1309" t="s">
        <v>3745</v>
      </c>
      <c r="C320" s="1284"/>
      <c r="D320" s="24"/>
      <c r="E320" s="62"/>
      <c r="F320" s="1283"/>
      <c r="G320" s="1283"/>
      <c r="H320" s="1283"/>
      <c r="I320" s="1284"/>
      <c r="J320" s="1284"/>
      <c r="K320" s="1283"/>
      <c r="L320" s="1284"/>
      <c r="M320" s="1284"/>
      <c r="N320" s="1284"/>
    </row>
    <row r="321" spans="1:39">
      <c r="A321" s="1282"/>
      <c r="B321" s="1309" t="s">
        <v>3740</v>
      </c>
      <c r="C321" s="1306"/>
      <c r="D321" s="24"/>
      <c r="E321" s="62"/>
      <c r="F321" s="1283"/>
      <c r="G321" s="1283"/>
      <c r="H321" s="1283"/>
      <c r="I321" s="1284"/>
      <c r="J321" s="1284"/>
      <c r="K321" s="1283"/>
      <c r="L321" s="1284"/>
      <c r="M321" s="1284"/>
      <c r="N321" s="1284"/>
    </row>
    <row r="322" spans="1:39">
      <c r="A322" s="1282"/>
      <c r="B322" s="1309" t="s">
        <v>3741</v>
      </c>
      <c r="C322" s="1277"/>
      <c r="D322" s="1283"/>
      <c r="E322" s="1283"/>
      <c r="F322" s="1283"/>
      <c r="G322" s="1283"/>
      <c r="H322" s="1283"/>
      <c r="I322" s="1284"/>
      <c r="J322" s="1284"/>
      <c r="K322" s="1283"/>
      <c r="L322" s="1284"/>
      <c r="M322" s="1284"/>
      <c r="N322" s="1284"/>
    </row>
    <row r="323" spans="1:39">
      <c r="A323" s="1282"/>
      <c r="B323" s="1309" t="s">
        <v>3742</v>
      </c>
      <c r="C323" s="1277"/>
      <c r="D323" s="24"/>
      <c r="E323" s="62"/>
      <c r="F323" s="1283"/>
      <c r="G323" s="1283"/>
      <c r="H323" s="1283"/>
      <c r="I323" s="1284"/>
      <c r="J323" s="1284"/>
      <c r="K323" s="1283"/>
      <c r="L323" s="1284"/>
      <c r="M323" s="1284"/>
      <c r="N323" s="1284"/>
    </row>
    <row r="324" spans="1:39">
      <c r="A324" s="1282"/>
      <c r="B324" s="1309" t="s">
        <v>3743</v>
      </c>
      <c r="C324" s="1277"/>
      <c r="D324" s="24"/>
      <c r="E324" s="62"/>
      <c r="F324" s="1283"/>
      <c r="G324" s="1283"/>
      <c r="H324" s="1283"/>
      <c r="I324" s="1284"/>
      <c r="J324" s="1284"/>
      <c r="K324" s="1283"/>
      <c r="L324" s="1284"/>
      <c r="M324" s="1284"/>
      <c r="N324" s="1284"/>
    </row>
    <row r="325" spans="1:39">
      <c r="A325" s="1282"/>
      <c r="B325" s="1309" t="s">
        <v>3744</v>
      </c>
      <c r="C325" s="1277"/>
      <c r="D325" s="24"/>
      <c r="E325" s="62"/>
      <c r="F325" s="1283"/>
      <c r="G325" s="1283"/>
      <c r="H325" s="1283"/>
      <c r="I325" s="1284"/>
      <c r="J325" s="1284"/>
      <c r="K325" s="1283"/>
      <c r="L325" s="1284"/>
      <c r="M325" s="1284"/>
      <c r="N325" s="1284"/>
    </row>
    <row r="326" spans="1:39">
      <c r="A326" s="1282"/>
      <c r="B326" s="1310" t="s">
        <v>3738</v>
      </c>
      <c r="C326" s="1277"/>
      <c r="D326" s="24"/>
      <c r="E326" s="62"/>
      <c r="F326" s="1283"/>
      <c r="G326" s="1283"/>
      <c r="H326" s="1283"/>
      <c r="I326" s="1284"/>
      <c r="J326" s="1284"/>
      <c r="K326" s="1283"/>
      <c r="L326" s="1284"/>
      <c r="M326" s="1284"/>
      <c r="N326" s="1284"/>
    </row>
    <row r="327" spans="1:39">
      <c r="A327" s="1282"/>
      <c r="B327" s="1309" t="s">
        <v>3739</v>
      </c>
      <c r="C327" s="1277"/>
      <c r="D327" s="24"/>
      <c r="E327" s="62"/>
      <c r="F327" s="1283"/>
      <c r="G327" s="1283"/>
      <c r="H327" s="1283"/>
      <c r="I327" s="1284"/>
      <c r="J327" s="1284"/>
      <c r="K327" s="1283"/>
      <c r="L327" s="1284"/>
      <c r="M327" s="1284"/>
      <c r="N327" s="1284"/>
    </row>
    <row r="328" spans="1:39">
      <c r="A328" s="1282"/>
      <c r="B328" s="37"/>
      <c r="C328" s="1277"/>
      <c r="D328" s="24"/>
      <c r="E328" s="62"/>
      <c r="F328" s="1283"/>
      <c r="G328" s="1283"/>
      <c r="H328" s="1283"/>
      <c r="I328" s="1284"/>
      <c r="J328" s="1284"/>
      <c r="K328" s="1283"/>
      <c r="L328" s="1284"/>
      <c r="M328" s="1284"/>
      <c r="N328" s="1284"/>
    </row>
    <row r="329" spans="1:39">
      <c r="A329" s="1282"/>
      <c r="B329" s="24"/>
      <c r="C329" s="24"/>
      <c r="D329" s="1275"/>
      <c r="E329" s="1284"/>
      <c r="F329" s="24"/>
      <c r="G329" s="24"/>
      <c r="H329" s="1275"/>
      <c r="I329" s="1284"/>
      <c r="J329" s="1284"/>
      <c r="K329" s="1284"/>
      <c r="L329" s="1284"/>
      <c r="M329" s="1284"/>
      <c r="N329" s="1284"/>
    </row>
    <row r="330" spans="1:39">
      <c r="A330" s="1282"/>
      <c r="B330" s="24"/>
      <c r="C330" s="24"/>
      <c r="D330" s="1275"/>
      <c r="E330" s="1284"/>
      <c r="F330" s="24"/>
      <c r="G330" s="24"/>
      <c r="H330" s="1275"/>
      <c r="I330" s="1284"/>
      <c r="J330" s="1284"/>
      <c r="K330" s="1284"/>
      <c r="L330" s="1284"/>
      <c r="M330" s="1284"/>
      <c r="N330" s="1284"/>
    </row>
    <row r="331" spans="1:39">
      <c r="A331" s="1247"/>
      <c r="B331" s="1276"/>
      <c r="C331" s="1277"/>
      <c r="D331" s="1275"/>
    </row>
    <row r="332" spans="1:39">
      <c r="A332" s="1251"/>
    </row>
    <row r="334" spans="1:39">
      <c r="C334" s="1249" t="s">
        <v>3612</v>
      </c>
      <c r="D334" s="1249" t="s">
        <v>3612</v>
      </c>
      <c r="E334" s="1249" t="s">
        <v>3612</v>
      </c>
      <c r="F334" s="1249" t="s">
        <v>3612</v>
      </c>
      <c r="G334" s="1249" t="s">
        <v>3612</v>
      </c>
      <c r="H334" s="1249" t="s">
        <v>3612</v>
      </c>
      <c r="I334" s="1249" t="s">
        <v>3612</v>
      </c>
      <c r="J334" s="1249" t="s">
        <v>3612</v>
      </c>
      <c r="K334" s="1249" t="s">
        <v>3612</v>
      </c>
      <c r="L334" s="1249" t="s">
        <v>3612</v>
      </c>
      <c r="M334" s="1249" t="s">
        <v>3612</v>
      </c>
      <c r="N334" s="1249" t="s">
        <v>3612</v>
      </c>
      <c r="O334" s="1275" t="s">
        <v>3612</v>
      </c>
      <c r="P334" s="1275" t="s">
        <v>3612</v>
      </c>
      <c r="Q334" s="1275" t="s">
        <v>3612</v>
      </c>
      <c r="R334" s="1275" t="s">
        <v>3612</v>
      </c>
      <c r="S334" s="1275" t="s">
        <v>3612</v>
      </c>
      <c r="T334" s="1275" t="s">
        <v>3612</v>
      </c>
      <c r="U334" s="1275" t="s">
        <v>3612</v>
      </c>
      <c r="V334" s="1275" t="s">
        <v>3612</v>
      </c>
      <c r="W334" s="1275" t="s">
        <v>3612</v>
      </c>
      <c r="X334" s="1249" t="s">
        <v>3612</v>
      </c>
      <c r="Y334" s="1249" t="s">
        <v>3612</v>
      </c>
      <c r="Z334" s="1249" t="s">
        <v>3612</v>
      </c>
      <c r="AA334" s="1249" t="s">
        <v>3612</v>
      </c>
      <c r="AB334" s="1249" t="s">
        <v>3612</v>
      </c>
      <c r="AC334" s="1249" t="s">
        <v>3612</v>
      </c>
      <c r="AD334" s="1249" t="s">
        <v>3612</v>
      </c>
      <c r="AE334" s="1249" t="s">
        <v>3612</v>
      </c>
      <c r="AF334" s="1249" t="s">
        <v>3612</v>
      </c>
      <c r="AG334" s="1249" t="s">
        <v>3612</v>
      </c>
      <c r="AH334" s="1249" t="s">
        <v>3612</v>
      </c>
      <c r="AI334" s="1249" t="s">
        <v>3612</v>
      </c>
      <c r="AJ334" s="1249" t="s">
        <v>3612</v>
      </c>
      <c r="AK334" s="1249" t="s">
        <v>3612</v>
      </c>
      <c r="AL334" s="1249" t="s">
        <v>3612</v>
      </c>
      <c r="AM334" s="1254"/>
    </row>
    <row r="335" spans="1:39">
      <c r="A335" s="1253" t="s">
        <v>3613</v>
      </c>
      <c r="B335" s="1255">
        <v>0.04</v>
      </c>
      <c r="C335" s="1249" t="s">
        <v>3614</v>
      </c>
      <c r="D335" s="1249" t="s">
        <v>3614</v>
      </c>
      <c r="E335" s="1249" t="s">
        <v>3614</v>
      </c>
      <c r="F335" s="1249" t="s">
        <v>3614</v>
      </c>
      <c r="G335" s="1249" t="s">
        <v>3614</v>
      </c>
      <c r="H335" s="1249" t="s">
        <v>3614</v>
      </c>
      <c r="I335" s="1249" t="s">
        <v>3614</v>
      </c>
      <c r="J335" s="1249" t="s">
        <v>3614</v>
      </c>
      <c r="K335" s="1249" t="s">
        <v>3614</v>
      </c>
      <c r="L335" s="1249" t="s">
        <v>3614</v>
      </c>
      <c r="M335" s="1249" t="s">
        <v>3614</v>
      </c>
      <c r="N335" s="1249" t="s">
        <v>3614</v>
      </c>
      <c r="O335" s="1275" t="s">
        <v>3614</v>
      </c>
      <c r="P335" s="1275" t="s">
        <v>3614</v>
      </c>
      <c r="Q335" s="1275" t="s">
        <v>3614</v>
      </c>
      <c r="R335" s="1275" t="s">
        <v>3614</v>
      </c>
      <c r="S335" s="1275" t="s">
        <v>3614</v>
      </c>
      <c r="T335" s="1275" t="s">
        <v>3614</v>
      </c>
      <c r="U335" s="1275" t="s">
        <v>3614</v>
      </c>
      <c r="V335" s="1275" t="s">
        <v>3614</v>
      </c>
      <c r="W335" s="1275" t="s">
        <v>3614</v>
      </c>
      <c r="X335" s="1249" t="s">
        <v>3614</v>
      </c>
      <c r="Y335" s="1249" t="s">
        <v>3614</v>
      </c>
      <c r="Z335" s="1249" t="s">
        <v>3614</v>
      </c>
      <c r="AA335" s="1249" t="s">
        <v>3614</v>
      </c>
      <c r="AB335" s="1249" t="s">
        <v>3614</v>
      </c>
      <c r="AC335" s="1249" t="s">
        <v>3614</v>
      </c>
      <c r="AD335" s="1249" t="s">
        <v>3614</v>
      </c>
      <c r="AE335" s="1249" t="s">
        <v>3614</v>
      </c>
      <c r="AF335" s="1249" t="s">
        <v>3614</v>
      </c>
      <c r="AG335" s="1249" t="s">
        <v>3614</v>
      </c>
      <c r="AH335" s="1249" t="s">
        <v>3614</v>
      </c>
      <c r="AI335" s="1249" t="s">
        <v>3614</v>
      </c>
      <c r="AJ335" s="1249" t="s">
        <v>3614</v>
      </c>
      <c r="AK335" s="1249" t="s">
        <v>3614</v>
      </c>
      <c r="AL335" s="1249" t="s">
        <v>3614</v>
      </c>
      <c r="AM335" s="1254"/>
    </row>
    <row r="336" spans="1:39">
      <c r="A336" s="1256" t="s">
        <v>3615</v>
      </c>
      <c r="B336" s="1257">
        <f>B335/12</f>
        <v>3.3333333333333335E-3</v>
      </c>
      <c r="C336" s="1258">
        <v>1</v>
      </c>
      <c r="D336" s="1258">
        <f t="shared" ref="D336:AL336" si="5">C336+1</f>
        <v>2</v>
      </c>
      <c r="E336" s="1258">
        <f t="shared" si="5"/>
        <v>3</v>
      </c>
      <c r="F336" s="1258">
        <f t="shared" si="5"/>
        <v>4</v>
      </c>
      <c r="G336" s="1258">
        <f>F336+1</f>
        <v>5</v>
      </c>
      <c r="H336" s="1258">
        <f t="shared" si="5"/>
        <v>6</v>
      </c>
      <c r="I336" s="1258">
        <f t="shared" si="5"/>
        <v>7</v>
      </c>
      <c r="J336" s="1258">
        <f t="shared" si="5"/>
        <v>8</v>
      </c>
      <c r="K336" s="1258">
        <f t="shared" si="5"/>
        <v>9</v>
      </c>
      <c r="L336" s="1258">
        <f t="shared" si="5"/>
        <v>10</v>
      </c>
      <c r="M336" s="1258">
        <f t="shared" si="5"/>
        <v>11</v>
      </c>
      <c r="N336" s="1258">
        <f t="shared" si="5"/>
        <v>12</v>
      </c>
      <c r="O336" s="1311">
        <f t="shared" si="5"/>
        <v>13</v>
      </c>
      <c r="P336" s="1311">
        <f t="shared" si="5"/>
        <v>14</v>
      </c>
      <c r="Q336" s="1311">
        <f t="shared" si="5"/>
        <v>15</v>
      </c>
      <c r="R336" s="1311">
        <f t="shared" si="5"/>
        <v>16</v>
      </c>
      <c r="S336" s="1311">
        <f t="shared" si="5"/>
        <v>17</v>
      </c>
      <c r="T336" s="1311">
        <f t="shared" si="5"/>
        <v>18</v>
      </c>
      <c r="U336" s="1311">
        <f t="shared" si="5"/>
        <v>19</v>
      </c>
      <c r="V336" s="1311">
        <f t="shared" si="5"/>
        <v>20</v>
      </c>
      <c r="W336" s="1311">
        <f t="shared" si="5"/>
        <v>21</v>
      </c>
      <c r="X336" s="1258">
        <f t="shared" si="5"/>
        <v>22</v>
      </c>
      <c r="Y336" s="1258">
        <f t="shared" si="5"/>
        <v>23</v>
      </c>
      <c r="Z336" s="1258">
        <f t="shared" si="5"/>
        <v>24</v>
      </c>
      <c r="AA336" s="1258">
        <f t="shared" si="5"/>
        <v>25</v>
      </c>
      <c r="AB336" s="1258">
        <f t="shared" si="5"/>
        <v>26</v>
      </c>
      <c r="AC336" s="1258">
        <f t="shared" si="5"/>
        <v>27</v>
      </c>
      <c r="AD336" s="1258">
        <f t="shared" si="5"/>
        <v>28</v>
      </c>
      <c r="AE336" s="1258">
        <f t="shared" si="5"/>
        <v>29</v>
      </c>
      <c r="AF336" s="1258">
        <f t="shared" si="5"/>
        <v>30</v>
      </c>
      <c r="AG336" s="1258">
        <f t="shared" si="5"/>
        <v>31</v>
      </c>
      <c r="AH336" s="1258">
        <f t="shared" si="5"/>
        <v>32</v>
      </c>
      <c r="AI336" s="1258">
        <f t="shared" si="5"/>
        <v>33</v>
      </c>
      <c r="AJ336" s="1258">
        <f t="shared" si="5"/>
        <v>34</v>
      </c>
      <c r="AK336" s="1258">
        <f t="shared" si="5"/>
        <v>35</v>
      </c>
      <c r="AL336" s="1258">
        <f t="shared" si="5"/>
        <v>36</v>
      </c>
      <c r="AM336" s="1259"/>
    </row>
    <row r="337" spans="1:39" s="1264" customFormat="1">
      <c r="A337" s="1260" t="s">
        <v>3616</v>
      </c>
      <c r="B337" s="1261"/>
      <c r="C337" s="1262">
        <f>IPMT(B336,C336,B338,B339,B340,B341)</f>
        <v>-233.33333333333334</v>
      </c>
      <c r="D337" s="1262">
        <f>IPMT(B336,D336,B338,B339,B340,B341)</f>
        <v>-229.81392263154893</v>
      </c>
      <c r="E337" s="1262">
        <f>IPMT(B336,E336,B338,B339,B340,B341)</f>
        <v>-226.28278056075865</v>
      </c>
      <c r="F337" s="1262">
        <f>IPMT(B336,F336,B338,B339,B340,B341)</f>
        <v>-222.73986801639904</v>
      </c>
      <c r="G337" s="1262">
        <f>IPMT(B336,G336,B338,B339,B340,B341)</f>
        <v>-219.18514576355815</v>
      </c>
      <c r="H337" s="1262">
        <f>IPMT(B336,H336,B338,B339,B340,B341)</f>
        <v>-215.61857443654128</v>
      </c>
      <c r="I337" s="1262">
        <f>IPMT(B336,I336,B338,B339,B340,B341)</f>
        <v>-212.04011453843421</v>
      </c>
      <c r="J337" s="1262">
        <f>IPMT(B336,J336,B338,B339,B340,B341)</f>
        <v>-208.44972644066689</v>
      </c>
      <c r="K337" s="1262">
        <f>IPMT(B336,K336,B338,B339,B340,B341)</f>
        <v>-204.84737038257364</v>
      </c>
      <c r="L337" s="1262">
        <f>IPMT(B336,L336,B338,B339,B340,B341)</f>
        <v>-201.2330064709534</v>
      </c>
      <c r="M337" s="1262">
        <f>IPMT(B336,M336,B338,B339,B340,B341)</f>
        <v>-197.60659467962776</v>
      </c>
      <c r="N337" s="1262">
        <f>IPMT(B336,N336,B338,B339,B340,B341)</f>
        <v>-193.96809484899771</v>
      </c>
      <c r="O337" s="1312">
        <f>IPMT(B336,O336,B338,B339,B340,B341)</f>
        <v>-190.31746668559887</v>
      </c>
      <c r="P337" s="1312">
        <f>IPMT(B336,P336,B338,B339,B340,B341)</f>
        <v>-186.65466976165541</v>
      </c>
      <c r="Q337" s="1312">
        <f>IPMT(B336,Q336,B338,B339,B340,B341)</f>
        <v>-182.97966351463205</v>
      </c>
      <c r="R337" s="1312">
        <f>IPMT(B336,R336,B338,B339,B340,B341)</f>
        <v>-179.29240724678539</v>
      </c>
      <c r="S337" s="1312">
        <f>IPMT(B336,S336,B338,B339,B340,B341)</f>
        <v>-175.59286012471253</v>
      </c>
      <c r="T337" s="1312">
        <f>IPMT(B336,T336,B338,B339,B340,B341)</f>
        <v>-171.88098117889939</v>
      </c>
      <c r="U337" s="1312">
        <f>IPMT(B336,U336,B338,B339,B340,B341)</f>
        <v>-168.1567293032669</v>
      </c>
      <c r="V337" s="1312">
        <f>IPMT(B336,V336,B338,B339,B340,B341)</f>
        <v>-164.42006325471564</v>
      </c>
      <c r="W337" s="1312">
        <f>IPMT(B336,W336,B338,B339,B340,B341)</f>
        <v>-160.67094165266923</v>
      </c>
      <c r="X337" s="1262">
        <f>IPMT(B336,X336,B338,B339,B340,B341)</f>
        <v>-156.90932297861596</v>
      </c>
      <c r="Y337" s="1262">
        <f>IPMT(B336,Y336,B338,B339,B340,B341)</f>
        <v>-153.13516557564924</v>
      </c>
      <c r="Z337" s="1262">
        <f>IPMT(B336,Z336,B338,B339,B340,B341)</f>
        <v>-149.3484276480059</v>
      </c>
      <c r="AA337" s="1262">
        <f>IPMT(B336,AA336,B338,B339,B340,B341)</f>
        <v>-145.54906726060378</v>
      </c>
      <c r="AB337" s="1262">
        <f>IPMT(B336,AB336,B338,B339,B340,B341)</f>
        <v>-141.73704233857697</v>
      </c>
      <c r="AC337" s="1262">
        <f>IPMT(B336,AC336,B338,B339,B340,B341)</f>
        <v>-137.9123106668101</v>
      </c>
      <c r="AD337" s="1262">
        <f>IPMT(B336,AD336,B338,B339,B340,B341)</f>
        <v>-134.07482988947064</v>
      </c>
      <c r="AE337" s="1262">
        <f>IPMT(B336,AE336,B338,B339,B340,B341)</f>
        <v>-130.22455750954003</v>
      </c>
      <c r="AF337" s="1262">
        <f>IPMT(B336,AF336,B338,B339,B340,B341)</f>
        <v>-126.36145088834303</v>
      </c>
      <c r="AG337" s="1262">
        <f>IPMT(B336,AG336,B338,B339,B340,B341)</f>
        <v>-122.48546724507537</v>
      </c>
      <c r="AH337" s="1262">
        <f>IPMT(B336,AH336,B338,B339,B340,B341)</f>
        <v>-118.59656365633012</v>
      </c>
      <c r="AI337" s="1262">
        <f>IPMT(B336,AI336,B338,B339,B340,B341)</f>
        <v>-114.69469705562241</v>
      </c>
      <c r="AJ337" s="1262">
        <f>IPMT(B336,AJ336,B338,B339,B340,B341)</f>
        <v>-110.77982423291235</v>
      </c>
      <c r="AK337" s="1262">
        <f>IPMT(B336,AK336,B338,B339,B340,B341)</f>
        <v>-106.85190183412658</v>
      </c>
      <c r="AL337" s="1262">
        <f>IPMT(B336,AL336,B338,B339,B340,B341)</f>
        <v>-102.91088636067819</v>
      </c>
      <c r="AM337" s="1263"/>
    </row>
    <row r="338" spans="1:39">
      <c r="A338" s="1256" t="s">
        <v>3617</v>
      </c>
      <c r="B338" s="1265">
        <v>60</v>
      </c>
      <c r="C338" s="1250"/>
      <c r="D338" s="1252"/>
      <c r="E338" s="1252"/>
      <c r="F338" s="1252"/>
      <c r="G338" s="1252"/>
      <c r="H338" s="1252"/>
      <c r="I338" s="1252"/>
      <c r="J338" s="1252"/>
      <c r="K338" s="1252"/>
      <c r="L338" s="1252"/>
      <c r="M338" s="1252"/>
      <c r="N338" s="1252"/>
      <c r="O338" s="1277"/>
      <c r="P338" s="1277"/>
      <c r="Q338" s="1277"/>
      <c r="R338" s="1277"/>
      <c r="S338" s="1277"/>
      <c r="T338" s="1277"/>
      <c r="U338" s="1277"/>
      <c r="V338" s="1277"/>
      <c r="W338" s="1277"/>
      <c r="X338" s="1252"/>
      <c r="Y338" s="1252"/>
      <c r="Z338" s="1252"/>
      <c r="AA338" s="1252"/>
      <c r="AB338" s="1252"/>
      <c r="AC338" s="1252"/>
      <c r="AD338" s="1252"/>
      <c r="AE338" s="1252"/>
      <c r="AF338" s="1252"/>
      <c r="AG338" s="1252"/>
      <c r="AH338" s="1252"/>
      <c r="AI338" s="1252"/>
      <c r="AJ338" s="1252"/>
      <c r="AK338" s="1252"/>
      <c r="AL338" s="1252"/>
      <c r="AM338" s="1248"/>
    </row>
    <row r="339" spans="1:39" s="1264" customFormat="1">
      <c r="A339" s="1260" t="s">
        <v>3618</v>
      </c>
      <c r="B339" s="1261">
        <v>70000</v>
      </c>
      <c r="C339" s="1262">
        <f t="shared" ref="C339:AL339" si="6">B339-C343-C337</f>
        <v>69733.333333333328</v>
      </c>
      <c r="D339" s="1262">
        <f t="shared" si="6"/>
        <v>69463.147255964883</v>
      </c>
      <c r="E339" s="1262">
        <f t="shared" si="6"/>
        <v>69189.430036525635</v>
      </c>
      <c r="F339" s="1262">
        <f t="shared" si="6"/>
        <v>68912.169904542039</v>
      </c>
      <c r="G339" s="1262">
        <f>F339-G343-G337</f>
        <v>68631.355050305603</v>
      </c>
      <c r="H339" s="1262">
        <f t="shared" si="6"/>
        <v>68346.973624742139</v>
      </c>
      <c r="I339" s="1262">
        <f t="shared" si="6"/>
        <v>68059.013739280577</v>
      </c>
      <c r="J339" s="1262">
        <f t="shared" si="6"/>
        <v>67767.463465721245</v>
      </c>
      <c r="K339" s="1262">
        <f t="shared" si="6"/>
        <v>67472.310836103818</v>
      </c>
      <c r="L339" s="1262">
        <f t="shared" si="6"/>
        <v>67173.543842574771</v>
      </c>
      <c r="M339" s="1262">
        <f t="shared" si="6"/>
        <v>66871.1504372544</v>
      </c>
      <c r="N339" s="1262">
        <f t="shared" si="6"/>
        <v>66565.118532103399</v>
      </c>
      <c r="O339" s="1312">
        <f t="shared" si="6"/>
        <v>66255.435998788991</v>
      </c>
      <c r="P339" s="1312">
        <f t="shared" si="6"/>
        <v>65942.090668550649</v>
      </c>
      <c r="Q339" s="1312">
        <f t="shared" si="6"/>
        <v>65625.070332065283</v>
      </c>
      <c r="R339" s="1312">
        <f t="shared" si="6"/>
        <v>65304.36273931207</v>
      </c>
      <c r="S339" s="1312">
        <f t="shared" si="6"/>
        <v>64979.955599436784</v>
      </c>
      <c r="T339" s="1312">
        <f t="shared" si="6"/>
        <v>64651.83658061568</v>
      </c>
      <c r="U339" s="1312">
        <f t="shared" si="6"/>
        <v>64319.993309918944</v>
      </c>
      <c r="V339" s="1312">
        <f t="shared" si="6"/>
        <v>63984.413373173658</v>
      </c>
      <c r="W339" s="1312">
        <f t="shared" si="6"/>
        <v>63645.08431482633</v>
      </c>
      <c r="X339" s="1262">
        <f t="shared" si="6"/>
        <v>63301.993637804946</v>
      </c>
      <c r="Y339" s="1262">
        <f t="shared" si="6"/>
        <v>62955.128803380598</v>
      </c>
      <c r="Z339" s="1262">
        <f t="shared" si="6"/>
        <v>62604.477231028606</v>
      </c>
      <c r="AA339" s="1262">
        <f t="shared" si="6"/>
        <v>62250.026298289209</v>
      </c>
      <c r="AB339" s="1262">
        <f t="shared" si="6"/>
        <v>61891.763340627789</v>
      </c>
      <c r="AC339" s="1262">
        <f t="shared" si="6"/>
        <v>61529.675651294601</v>
      </c>
      <c r="AD339" s="1262">
        <f t="shared" si="6"/>
        <v>61163.75048118407</v>
      </c>
      <c r="AE339" s="1262">
        <f t="shared" si="6"/>
        <v>60793.975038693607</v>
      </c>
      <c r="AF339" s="1262">
        <f t="shared" si="6"/>
        <v>60420.336489581947</v>
      </c>
      <c r="AG339" s="1262">
        <f t="shared" si="6"/>
        <v>60042.821956827021</v>
      </c>
      <c r="AH339" s="1262">
        <f t="shared" si="6"/>
        <v>59661.418520483348</v>
      </c>
      <c r="AI339" s="1262">
        <f t="shared" si="6"/>
        <v>59276.113217538972</v>
      </c>
      <c r="AJ339" s="1262">
        <f t="shared" si="6"/>
        <v>58886.893041771888</v>
      </c>
      <c r="AK339" s="1262">
        <f t="shared" si="6"/>
        <v>58493.744943606012</v>
      </c>
      <c r="AL339" s="1262">
        <f t="shared" si="6"/>
        <v>58096.655829966694</v>
      </c>
      <c r="AM339" s="1263"/>
    </row>
    <row r="340" spans="1:39" s="1264" customFormat="1">
      <c r="A340" s="1260" t="s">
        <v>3619</v>
      </c>
      <c r="B340" s="1261">
        <v>0</v>
      </c>
      <c r="C340" s="1262"/>
      <c r="D340" s="1262"/>
      <c r="E340" s="1262"/>
      <c r="F340" s="1262"/>
      <c r="G340" s="1262"/>
      <c r="H340" s="1262"/>
      <c r="I340" s="1262"/>
      <c r="J340" s="1262"/>
      <c r="K340" s="1262"/>
      <c r="L340" s="1262"/>
      <c r="M340" s="1262"/>
      <c r="N340" s="1262"/>
      <c r="O340" s="1312"/>
      <c r="P340" s="1312"/>
      <c r="Q340" s="1312"/>
      <c r="R340" s="1312"/>
      <c r="S340" s="1312"/>
      <c r="T340" s="1312"/>
      <c r="U340" s="1312"/>
      <c r="V340" s="1312"/>
      <c r="W340" s="1312"/>
      <c r="X340" s="1262"/>
      <c r="Y340" s="1262"/>
      <c r="Z340" s="1262"/>
      <c r="AA340" s="1262"/>
      <c r="AB340" s="1262"/>
      <c r="AC340" s="1262"/>
      <c r="AD340" s="1262"/>
      <c r="AE340" s="1262"/>
      <c r="AF340" s="1262"/>
      <c r="AG340" s="1262"/>
      <c r="AH340" s="1262"/>
      <c r="AI340" s="1262"/>
      <c r="AJ340" s="1262"/>
      <c r="AK340" s="1262"/>
      <c r="AL340" s="1262"/>
      <c r="AM340" s="1263"/>
    </row>
    <row r="341" spans="1:39">
      <c r="A341" s="1256" t="s">
        <v>3620</v>
      </c>
      <c r="B341" s="1265">
        <v>0</v>
      </c>
      <c r="D341" s="1252"/>
      <c r="E341" s="1252"/>
      <c r="F341" s="1252"/>
      <c r="G341" s="1252"/>
      <c r="H341" s="1252"/>
      <c r="I341" s="1252"/>
      <c r="J341" s="1252"/>
      <c r="K341" s="1252"/>
      <c r="L341" s="1252"/>
      <c r="M341" s="1252"/>
      <c r="N341" s="1252"/>
      <c r="O341" s="1277"/>
      <c r="P341" s="1277"/>
      <c r="Q341" s="1277"/>
      <c r="R341" s="1277"/>
      <c r="S341" s="1277"/>
      <c r="T341" s="1277"/>
      <c r="U341" s="1277"/>
      <c r="V341" s="1277"/>
      <c r="W341" s="1277"/>
      <c r="X341" s="1252"/>
      <c r="Y341" s="1252"/>
      <c r="Z341" s="1252"/>
      <c r="AA341" s="1252"/>
      <c r="AB341" s="1252"/>
      <c r="AC341" s="1252"/>
      <c r="AD341" s="1252"/>
      <c r="AE341" s="1252"/>
      <c r="AF341" s="1252"/>
      <c r="AG341" s="1252"/>
      <c r="AH341" s="1252"/>
      <c r="AI341" s="1252"/>
      <c r="AJ341" s="1252"/>
      <c r="AK341" s="1252"/>
      <c r="AL341" s="1252"/>
      <c r="AM341" s="1248"/>
    </row>
    <row r="342" spans="1:39">
      <c r="A342" s="1256"/>
      <c r="E342" s="1249"/>
      <c r="F342" s="1249"/>
      <c r="G342" s="1249"/>
      <c r="H342" s="1249"/>
      <c r="I342" s="1249"/>
      <c r="J342" s="1249"/>
      <c r="K342" s="1249"/>
      <c r="L342" s="1249"/>
      <c r="M342" s="1249"/>
      <c r="N342" s="1249"/>
      <c r="O342" s="1275"/>
      <c r="P342" s="1275"/>
      <c r="Q342" s="1275"/>
      <c r="R342" s="1275"/>
      <c r="S342" s="1275"/>
      <c r="T342" s="1275"/>
      <c r="U342" s="1275"/>
      <c r="V342" s="1275"/>
      <c r="W342" s="1275"/>
      <c r="X342" s="1249"/>
      <c r="Y342" s="1249"/>
      <c r="Z342" s="1249"/>
      <c r="AA342" s="1249"/>
      <c r="AB342" s="1249"/>
      <c r="AC342" s="1249"/>
      <c r="AD342" s="1249"/>
      <c r="AE342" s="1249"/>
      <c r="AF342" s="1249"/>
      <c r="AG342" s="1249"/>
      <c r="AH342" s="1249"/>
      <c r="AI342" s="1249"/>
      <c r="AJ342" s="1249"/>
      <c r="AK342" s="1249"/>
      <c r="AL342" s="1249"/>
      <c r="AM342" s="1266"/>
    </row>
    <row r="343" spans="1:39" s="1264" customFormat="1">
      <c r="A343" s="1260" t="s">
        <v>3621</v>
      </c>
      <c r="B343" s="1261">
        <v>500</v>
      </c>
      <c r="C343" s="1267">
        <f>B343</f>
        <v>500</v>
      </c>
      <c r="D343" s="1267">
        <f>B343</f>
        <v>500</v>
      </c>
      <c r="E343" s="1267">
        <f>B343</f>
        <v>500</v>
      </c>
      <c r="F343" s="1267">
        <f>B343</f>
        <v>500</v>
      </c>
      <c r="G343" s="1267">
        <f>B343</f>
        <v>500</v>
      </c>
      <c r="H343" s="1267">
        <f>B343</f>
        <v>500</v>
      </c>
      <c r="I343" s="1267">
        <f>B343</f>
        <v>500</v>
      </c>
      <c r="J343" s="1267">
        <f>B343</f>
        <v>500</v>
      </c>
      <c r="K343" s="1267">
        <f>B343</f>
        <v>500</v>
      </c>
      <c r="L343" s="1267">
        <f>B343</f>
        <v>500</v>
      </c>
      <c r="M343" s="1267">
        <f>B343</f>
        <v>500</v>
      </c>
      <c r="N343" s="1267">
        <f>B343</f>
        <v>500</v>
      </c>
      <c r="O343" s="1313">
        <f>B343</f>
        <v>500</v>
      </c>
      <c r="P343" s="1313">
        <f>B343</f>
        <v>500</v>
      </c>
      <c r="Q343" s="1313">
        <f>B343</f>
        <v>500</v>
      </c>
      <c r="R343" s="1313">
        <f>B343</f>
        <v>500</v>
      </c>
      <c r="S343" s="1313">
        <f>B343</f>
        <v>500</v>
      </c>
      <c r="T343" s="1313">
        <f>B343</f>
        <v>500</v>
      </c>
      <c r="U343" s="1313">
        <f>B343</f>
        <v>500</v>
      </c>
      <c r="V343" s="1313">
        <f>B343</f>
        <v>500</v>
      </c>
      <c r="W343" s="1313">
        <f>B343</f>
        <v>500</v>
      </c>
      <c r="X343" s="1267">
        <f>B343</f>
        <v>500</v>
      </c>
      <c r="Y343" s="1267">
        <f>B343</f>
        <v>500</v>
      </c>
      <c r="Z343" s="1267">
        <f>B343</f>
        <v>500</v>
      </c>
      <c r="AA343" s="1267">
        <f>B343</f>
        <v>500</v>
      </c>
      <c r="AB343" s="1267">
        <f>B343</f>
        <v>500</v>
      </c>
      <c r="AC343" s="1267">
        <f>B343</f>
        <v>500</v>
      </c>
      <c r="AD343" s="1267">
        <f>B343</f>
        <v>500</v>
      </c>
      <c r="AE343" s="1267">
        <f>B343</f>
        <v>500</v>
      </c>
      <c r="AF343" s="1267">
        <f>B343</f>
        <v>500</v>
      </c>
      <c r="AG343" s="1267">
        <f>B343</f>
        <v>500</v>
      </c>
      <c r="AH343" s="1267">
        <f>B343</f>
        <v>500</v>
      </c>
      <c r="AI343" s="1267">
        <f>B343</f>
        <v>500</v>
      </c>
      <c r="AJ343" s="1267">
        <f>B343</f>
        <v>500</v>
      </c>
      <c r="AK343" s="1267">
        <f>B343</f>
        <v>500</v>
      </c>
      <c r="AL343" s="1267">
        <f>B343</f>
        <v>500</v>
      </c>
      <c r="AM343" s="1268"/>
    </row>
    <row r="344" spans="1:39">
      <c r="C344" s="1269" t="s">
        <v>3622</v>
      </c>
      <c r="D344" s="1269" t="s">
        <v>3623</v>
      </c>
      <c r="E344" s="1269" t="s">
        <v>3624</v>
      </c>
      <c r="F344" s="1269" t="s">
        <v>3625</v>
      </c>
      <c r="G344" s="1269" t="s">
        <v>3626</v>
      </c>
      <c r="H344" s="1269" t="s">
        <v>3627</v>
      </c>
      <c r="I344" s="1269" t="s">
        <v>3628</v>
      </c>
      <c r="J344" s="1269" t="s">
        <v>3629</v>
      </c>
      <c r="K344" s="1269" t="s">
        <v>3630</v>
      </c>
      <c r="L344" s="1269" t="s">
        <v>3631</v>
      </c>
      <c r="M344" s="1269" t="s">
        <v>3632</v>
      </c>
      <c r="N344" s="1269" t="s">
        <v>3633</v>
      </c>
      <c r="O344" s="1314" t="s">
        <v>3622</v>
      </c>
      <c r="P344" s="1314" t="s">
        <v>3623</v>
      </c>
      <c r="Q344" s="1314" t="s">
        <v>3624</v>
      </c>
      <c r="R344" s="1314" t="s">
        <v>3625</v>
      </c>
      <c r="S344" s="1314" t="s">
        <v>3626</v>
      </c>
      <c r="T344" s="1314" t="s">
        <v>3627</v>
      </c>
      <c r="U344" s="1314" t="s">
        <v>3628</v>
      </c>
      <c r="V344" s="1314" t="s">
        <v>3629</v>
      </c>
      <c r="W344" s="1314" t="s">
        <v>3630</v>
      </c>
      <c r="X344" s="1269" t="s">
        <v>3631</v>
      </c>
      <c r="Y344" s="1269" t="s">
        <v>3632</v>
      </c>
      <c r="Z344" s="1269" t="s">
        <v>3633</v>
      </c>
      <c r="AA344" s="1269" t="s">
        <v>3622</v>
      </c>
      <c r="AB344" s="1269" t="s">
        <v>3623</v>
      </c>
      <c r="AC344" s="1269" t="s">
        <v>3624</v>
      </c>
      <c r="AD344" s="1269" t="s">
        <v>3625</v>
      </c>
      <c r="AE344" s="1269" t="s">
        <v>3626</v>
      </c>
      <c r="AF344" s="1269" t="s">
        <v>3627</v>
      </c>
      <c r="AG344" s="1269" t="s">
        <v>3628</v>
      </c>
      <c r="AH344" s="1269" t="s">
        <v>3629</v>
      </c>
      <c r="AI344" s="1269" t="s">
        <v>3630</v>
      </c>
      <c r="AJ344" s="1269"/>
    </row>
    <row r="345" spans="1:39">
      <c r="C345" s="1252">
        <v>2003</v>
      </c>
      <c r="D345" s="1252">
        <f>C345</f>
        <v>2003</v>
      </c>
      <c r="E345" s="1252">
        <f>C345</f>
        <v>2003</v>
      </c>
      <c r="F345" s="1252">
        <f>C345</f>
        <v>2003</v>
      </c>
      <c r="G345" s="1252">
        <f>C345</f>
        <v>2003</v>
      </c>
      <c r="H345" s="1252">
        <f>C345</f>
        <v>2003</v>
      </c>
      <c r="I345" s="1252">
        <f>C345</f>
        <v>2003</v>
      </c>
      <c r="J345" s="1252">
        <f>C345</f>
        <v>2003</v>
      </c>
      <c r="K345" s="1252">
        <f>C345</f>
        <v>2003</v>
      </c>
      <c r="L345" s="1252">
        <v>2004</v>
      </c>
      <c r="M345" s="1252">
        <f>L345</f>
        <v>2004</v>
      </c>
      <c r="N345" s="1252">
        <f>L345</f>
        <v>2004</v>
      </c>
      <c r="O345" s="1277">
        <f>L345</f>
        <v>2004</v>
      </c>
      <c r="P345" s="1277">
        <f>L345</f>
        <v>2004</v>
      </c>
      <c r="Q345" s="1277">
        <f>L345</f>
        <v>2004</v>
      </c>
      <c r="R345" s="1277">
        <f>L345</f>
        <v>2004</v>
      </c>
      <c r="S345" s="1277">
        <f>L345</f>
        <v>2004</v>
      </c>
      <c r="T345" s="1277">
        <f>L345</f>
        <v>2004</v>
      </c>
      <c r="U345" s="1277">
        <f>L345</f>
        <v>2004</v>
      </c>
      <c r="V345" s="1277">
        <f>L345</f>
        <v>2004</v>
      </c>
      <c r="W345" s="1277">
        <f>L345</f>
        <v>2004</v>
      </c>
      <c r="X345" s="1252">
        <v>2005</v>
      </c>
      <c r="Y345" s="1252">
        <f>X345</f>
        <v>2005</v>
      </c>
      <c r="Z345" s="1252">
        <f>X345</f>
        <v>2005</v>
      </c>
      <c r="AA345" s="1252">
        <f>X345</f>
        <v>2005</v>
      </c>
      <c r="AB345" s="1252">
        <f>X345</f>
        <v>2005</v>
      </c>
      <c r="AC345" s="1252">
        <f>X345</f>
        <v>2005</v>
      </c>
      <c r="AD345" s="1252">
        <f>X345</f>
        <v>2005</v>
      </c>
      <c r="AE345" s="1252">
        <f>X345</f>
        <v>2005</v>
      </c>
      <c r="AF345" s="1252">
        <f>X345</f>
        <v>2005</v>
      </c>
      <c r="AG345" s="1252">
        <f>X345</f>
        <v>2005</v>
      </c>
      <c r="AH345" s="1252">
        <f>X345</f>
        <v>2005</v>
      </c>
      <c r="AI345" s="1252">
        <f>X345</f>
        <v>2005</v>
      </c>
    </row>
    <row r="347" spans="1:39" s="1264" customFormat="1">
      <c r="A347" s="1268" t="s">
        <v>3634</v>
      </c>
      <c r="B347" s="1270">
        <f>PMT(B336,B338,B339,B340,B341)</f>
        <v>-1289.1565438686446</v>
      </c>
      <c r="C347" s="1271"/>
      <c r="D347" s="1262"/>
      <c r="E347" s="1271"/>
      <c r="F347" s="1271"/>
      <c r="G347" s="1271"/>
      <c r="H347" s="1271"/>
      <c r="I347" s="1271"/>
      <c r="J347" s="1271"/>
      <c r="K347" s="1271"/>
      <c r="L347" s="1271"/>
      <c r="M347" s="1271"/>
      <c r="N347" s="1271"/>
      <c r="O347" s="1315"/>
      <c r="P347" s="1315"/>
      <c r="Q347" s="1315"/>
      <c r="R347" s="1315"/>
      <c r="S347" s="1315"/>
      <c r="T347" s="1315"/>
      <c r="U347" s="1315"/>
      <c r="V347" s="1315"/>
      <c r="W347" s="1315"/>
      <c r="X347" s="1271"/>
      <c r="Y347" s="1271"/>
      <c r="Z347" s="1271"/>
      <c r="AA347" s="1271"/>
      <c r="AB347" s="1271"/>
      <c r="AC347" s="1271"/>
      <c r="AD347" s="1271"/>
      <c r="AE347" s="1271"/>
      <c r="AF347" s="1271"/>
      <c r="AG347" s="1271"/>
      <c r="AH347" s="1271"/>
      <c r="AI347" s="1271"/>
      <c r="AJ347" s="1271"/>
      <c r="AK347" s="1271"/>
      <c r="AL347" s="1271"/>
    </row>
    <row r="348" spans="1:39">
      <c r="C348" s="1250"/>
    </row>
    <row r="349" spans="1:39">
      <c r="C349" s="1250"/>
    </row>
    <row r="350" spans="1:39" s="1264" customFormat="1">
      <c r="A350" s="1268" t="s">
        <v>3635</v>
      </c>
      <c r="B350" s="1263">
        <f>B338*B347</f>
        <v>-77349.392632118674</v>
      </c>
      <c r="C350" s="1271"/>
      <c r="D350" s="1262"/>
      <c r="E350" s="1271"/>
      <c r="F350" s="1271"/>
      <c r="G350" s="1271"/>
      <c r="H350" s="1271"/>
      <c r="I350" s="1271"/>
      <c r="J350" s="1271"/>
      <c r="K350" s="1271"/>
      <c r="L350" s="1271"/>
      <c r="M350" s="1271"/>
      <c r="N350" s="1271"/>
      <c r="O350" s="1315"/>
      <c r="P350" s="1315"/>
      <c r="Q350" s="1315"/>
      <c r="R350" s="1315"/>
      <c r="S350" s="1315"/>
      <c r="T350" s="1315"/>
      <c r="U350" s="1315"/>
      <c r="V350" s="1315"/>
      <c r="W350" s="1315"/>
      <c r="X350" s="1271"/>
      <c r="Y350" s="1271"/>
      <c r="Z350" s="1271"/>
      <c r="AA350" s="1271"/>
      <c r="AB350" s="1271"/>
      <c r="AC350" s="1271"/>
      <c r="AD350" s="1271"/>
      <c r="AE350" s="1271"/>
      <c r="AF350" s="1271"/>
      <c r="AG350" s="1271"/>
      <c r="AH350" s="1271"/>
      <c r="AI350" s="1271"/>
      <c r="AJ350" s="1271"/>
      <c r="AK350" s="1271"/>
      <c r="AL350" s="1271"/>
    </row>
    <row r="351" spans="1:39">
      <c r="C351" s="1250"/>
    </row>
    <row r="352" spans="1:39" s="1264" customFormat="1">
      <c r="A352" s="1268" t="s">
        <v>3636</v>
      </c>
      <c r="B352" s="1263">
        <f>B338*B343</f>
        <v>30000</v>
      </c>
      <c r="C352" s="1271"/>
      <c r="D352" s="1262"/>
      <c r="E352" s="1271"/>
      <c r="F352" s="1271"/>
      <c r="G352" s="1271"/>
      <c r="H352" s="1271"/>
      <c r="I352" s="1271"/>
      <c r="J352" s="1271"/>
      <c r="K352" s="1271"/>
      <c r="L352" s="1271"/>
      <c r="M352" s="1271"/>
      <c r="N352" s="1271"/>
      <c r="O352" s="1315"/>
      <c r="P352" s="1315"/>
      <c r="Q352" s="1315"/>
      <c r="R352" s="1315"/>
      <c r="S352" s="1315"/>
      <c r="T352" s="1315"/>
      <c r="U352" s="1315"/>
      <c r="V352" s="1315"/>
      <c r="W352" s="1315"/>
      <c r="X352" s="1271"/>
      <c r="Y352" s="1271"/>
      <c r="Z352" s="1271"/>
      <c r="AA352" s="1271"/>
      <c r="AB352" s="1271"/>
      <c r="AC352" s="1271"/>
      <c r="AD352" s="1271"/>
      <c r="AE352" s="1271"/>
      <c r="AF352" s="1271"/>
      <c r="AG352" s="1271"/>
      <c r="AH352" s="1271"/>
      <c r="AI352" s="1271"/>
      <c r="AJ352" s="1271"/>
      <c r="AK352" s="1271"/>
      <c r="AL352" s="1271"/>
    </row>
    <row r="353" spans="1:39" s="1264" customFormat="1">
      <c r="A353" s="1268" t="s">
        <v>3637</v>
      </c>
      <c r="B353" s="1263">
        <f>B350+B352</f>
        <v>-47349.392632118674</v>
      </c>
      <c r="C353" s="1271"/>
      <c r="D353" s="1262"/>
      <c r="E353" s="1271"/>
      <c r="F353" s="1271"/>
      <c r="G353" s="1271"/>
      <c r="H353" s="1271"/>
      <c r="I353" s="1271"/>
      <c r="J353" s="1271"/>
      <c r="K353" s="1271"/>
      <c r="L353" s="1271"/>
      <c r="M353" s="1271"/>
      <c r="N353" s="1271"/>
      <c r="O353" s="1315"/>
      <c r="P353" s="1315"/>
      <c r="Q353" s="1315"/>
      <c r="R353" s="1315"/>
      <c r="S353" s="1315"/>
      <c r="T353" s="1315"/>
      <c r="U353" s="1315"/>
      <c r="V353" s="1315"/>
      <c r="W353" s="1315"/>
      <c r="X353" s="1271"/>
      <c r="Y353" s="1271"/>
      <c r="Z353" s="1271"/>
      <c r="AA353" s="1271"/>
      <c r="AB353" s="1271"/>
      <c r="AC353" s="1271"/>
      <c r="AD353" s="1271"/>
      <c r="AE353" s="1271"/>
      <c r="AF353" s="1271"/>
      <c r="AG353" s="1271"/>
      <c r="AH353" s="1271"/>
      <c r="AI353" s="1271"/>
      <c r="AJ353" s="1271"/>
      <c r="AK353" s="1271"/>
      <c r="AL353" s="1271"/>
    </row>
    <row r="357" spans="1:39">
      <c r="B357" s="1251"/>
    </row>
    <row r="358" spans="1:39">
      <c r="D358" s="1272"/>
    </row>
    <row r="359" spans="1:39">
      <c r="A359" s="1251"/>
    </row>
    <row r="360" spans="1:39">
      <c r="A360" s="1251"/>
      <c r="B360" s="1273" t="s">
        <v>3657</v>
      </c>
    </row>
    <row r="361" spans="1:39">
      <c r="A361" s="1251"/>
    </row>
    <row r="362" spans="1:39" s="1252" customFormat="1">
      <c r="B362" s="1248"/>
      <c r="D362" s="1249"/>
      <c r="E362" s="1250"/>
      <c r="F362" s="1250"/>
      <c r="G362" s="1250"/>
      <c r="H362" s="1250"/>
      <c r="I362" s="1250"/>
      <c r="J362" s="1250"/>
      <c r="K362" s="1250"/>
      <c r="L362" s="1250"/>
      <c r="M362" s="1250"/>
      <c r="N362" s="1250"/>
      <c r="O362" s="1284"/>
      <c r="P362" s="1284"/>
      <c r="Q362" s="1284"/>
      <c r="R362" s="1284"/>
      <c r="S362" s="1284"/>
      <c r="T362" s="1284"/>
      <c r="U362" s="1284"/>
      <c r="V362" s="1284"/>
      <c r="W362" s="1284"/>
      <c r="X362" s="1250"/>
      <c r="Y362" s="1250"/>
      <c r="Z362" s="1250"/>
      <c r="AA362" s="1250"/>
      <c r="AB362" s="1250"/>
      <c r="AC362" s="1250"/>
      <c r="AD362" s="1250"/>
      <c r="AE362" s="1250"/>
      <c r="AF362" s="1250"/>
      <c r="AG362" s="1250"/>
      <c r="AH362" s="1250"/>
      <c r="AI362" s="1250"/>
      <c r="AJ362" s="1250"/>
      <c r="AK362" s="1250"/>
      <c r="AL362" s="1250"/>
      <c r="AM362" s="1251"/>
    </row>
    <row r="363" spans="1:39" s="1252" customFormat="1">
      <c r="B363" s="1248"/>
      <c r="D363" s="1249"/>
      <c r="E363" s="1250"/>
      <c r="F363" s="1250"/>
      <c r="G363" s="1250"/>
      <c r="H363" s="1250"/>
      <c r="I363" s="1250"/>
      <c r="J363" s="1250"/>
      <c r="K363" s="1250"/>
      <c r="L363" s="1250"/>
      <c r="M363" s="1250"/>
      <c r="N363" s="1250"/>
      <c r="O363" s="1284"/>
      <c r="P363" s="1284"/>
      <c r="Q363" s="1284"/>
      <c r="R363" s="1284"/>
      <c r="S363" s="1284"/>
      <c r="T363" s="1284"/>
      <c r="U363" s="1284"/>
      <c r="V363" s="1284"/>
      <c r="W363" s="1284"/>
      <c r="X363" s="1250"/>
      <c r="Y363" s="1250"/>
      <c r="Z363" s="1250"/>
      <c r="AA363" s="1250"/>
      <c r="AB363" s="1250"/>
      <c r="AC363" s="1250"/>
      <c r="AD363" s="1250"/>
      <c r="AE363" s="1250"/>
      <c r="AF363" s="1250"/>
      <c r="AG363" s="1250"/>
      <c r="AH363" s="1250"/>
      <c r="AI363" s="1250"/>
      <c r="AJ363" s="1250"/>
      <c r="AK363" s="1250"/>
      <c r="AL363" s="1250"/>
      <c r="AM363" s="1251"/>
    </row>
    <row r="364" spans="1:39" s="1252" customFormat="1">
      <c r="B364" s="1248"/>
      <c r="D364" s="1249"/>
      <c r="E364" s="1250"/>
      <c r="F364" s="1250"/>
      <c r="G364" s="1250"/>
      <c r="H364" s="1250"/>
      <c r="I364" s="1250"/>
      <c r="J364" s="1250"/>
      <c r="K364" s="1250"/>
      <c r="L364" s="1250"/>
      <c r="M364" s="1250"/>
      <c r="N364" s="1250"/>
      <c r="O364" s="1284"/>
      <c r="P364" s="1284"/>
      <c r="Q364" s="1284"/>
      <c r="R364" s="1284"/>
      <c r="S364" s="1284"/>
      <c r="T364" s="1284"/>
      <c r="U364" s="1284"/>
      <c r="V364" s="1284"/>
      <c r="W364" s="1284"/>
      <c r="X364" s="1250"/>
      <c r="Y364" s="1250"/>
      <c r="Z364" s="1250"/>
      <c r="AA364" s="1250"/>
      <c r="AB364" s="1250"/>
      <c r="AC364" s="1250"/>
      <c r="AD364" s="1250"/>
      <c r="AE364" s="1250"/>
      <c r="AF364" s="1250"/>
      <c r="AG364" s="1250"/>
      <c r="AH364" s="1250"/>
      <c r="AI364" s="1250"/>
      <c r="AJ364" s="1250"/>
      <c r="AK364" s="1250"/>
      <c r="AL364" s="1250"/>
      <c r="AM364" s="1251"/>
    </row>
    <row r="365" spans="1:39" s="1252" customFormat="1">
      <c r="B365" s="1248"/>
      <c r="D365" s="1249"/>
      <c r="E365" s="1250"/>
      <c r="F365" s="1250"/>
      <c r="G365" s="1250"/>
      <c r="H365" s="1250"/>
      <c r="I365" s="1250"/>
      <c r="J365" s="1250"/>
      <c r="K365" s="1250"/>
      <c r="L365" s="1250"/>
      <c r="M365" s="1250"/>
      <c r="N365" s="1250"/>
      <c r="O365" s="1284"/>
      <c r="P365" s="1284"/>
      <c r="Q365" s="1284"/>
      <c r="R365" s="1284"/>
      <c r="S365" s="1284"/>
      <c r="T365" s="1284"/>
      <c r="U365" s="1284"/>
      <c r="V365" s="1284"/>
      <c r="W365" s="1284"/>
      <c r="X365" s="1250"/>
      <c r="Y365" s="1250"/>
      <c r="Z365" s="1250"/>
      <c r="AA365" s="1250"/>
      <c r="AB365" s="1250"/>
      <c r="AC365" s="1250"/>
      <c r="AD365" s="1250"/>
      <c r="AE365" s="1250"/>
      <c r="AF365" s="1250"/>
      <c r="AG365" s="1250"/>
      <c r="AH365" s="1250"/>
      <c r="AI365" s="1250"/>
      <c r="AJ365" s="1250"/>
      <c r="AK365" s="1250"/>
      <c r="AL365" s="1250"/>
      <c r="AM365" s="1251"/>
    </row>
    <row r="366" spans="1:39" s="1252" customFormat="1">
      <c r="B366" s="1274"/>
      <c r="D366" s="1249"/>
      <c r="E366" s="1250"/>
      <c r="F366" s="1250"/>
      <c r="G366" s="1250"/>
      <c r="H366" s="1250"/>
      <c r="I366" s="1250"/>
      <c r="J366" s="1250"/>
      <c r="K366" s="1250"/>
      <c r="L366" s="1250"/>
      <c r="M366" s="1250"/>
      <c r="N366" s="1250"/>
      <c r="O366" s="1284"/>
      <c r="P366" s="1284"/>
      <c r="Q366" s="1284"/>
      <c r="R366" s="1284"/>
      <c r="S366" s="1284"/>
      <c r="T366" s="1284"/>
      <c r="U366" s="1284"/>
      <c r="V366" s="1284"/>
      <c r="W366" s="1284"/>
      <c r="X366" s="1250"/>
      <c r="Y366" s="1250"/>
      <c r="Z366" s="1250"/>
      <c r="AA366" s="1250"/>
      <c r="AB366" s="1250"/>
      <c r="AC366" s="1250"/>
      <c r="AD366" s="1250"/>
      <c r="AE366" s="1250"/>
      <c r="AF366" s="1250"/>
      <c r="AG366" s="1250"/>
      <c r="AH366" s="1250"/>
      <c r="AI366" s="1250"/>
      <c r="AJ366" s="1250"/>
      <c r="AK366" s="1250"/>
      <c r="AL366" s="1250"/>
      <c r="AM366" s="1251"/>
    </row>
    <row r="367" spans="1:39" s="1252" customFormat="1">
      <c r="B367" s="1248"/>
      <c r="D367" s="1249"/>
      <c r="E367" s="1250"/>
      <c r="F367" s="1250"/>
      <c r="G367" s="1250"/>
      <c r="H367" s="1250"/>
      <c r="I367" s="1250"/>
      <c r="J367" s="1250"/>
      <c r="K367" s="1250"/>
      <c r="L367" s="1250"/>
      <c r="M367" s="1250"/>
      <c r="N367" s="1250"/>
      <c r="O367" s="1284"/>
      <c r="P367" s="1284"/>
      <c r="Q367" s="1284"/>
      <c r="R367" s="1284"/>
      <c r="S367" s="1284"/>
      <c r="T367" s="1284"/>
      <c r="U367" s="1284"/>
      <c r="V367" s="1284"/>
      <c r="W367" s="1284"/>
      <c r="X367" s="1250"/>
      <c r="Y367" s="1250"/>
      <c r="Z367" s="1250"/>
      <c r="AA367" s="1250"/>
      <c r="AB367" s="1250"/>
      <c r="AC367" s="1250"/>
      <c r="AD367" s="1250"/>
      <c r="AE367" s="1250"/>
      <c r="AF367" s="1250"/>
      <c r="AG367" s="1250"/>
      <c r="AH367" s="1250"/>
      <c r="AI367" s="1250"/>
      <c r="AJ367" s="1250"/>
      <c r="AK367" s="1250"/>
      <c r="AL367" s="1250"/>
      <c r="AM367" s="1251"/>
    </row>
    <row r="368" spans="1:39" s="1252" customFormat="1">
      <c r="B368" s="1248"/>
      <c r="D368" s="1249"/>
      <c r="E368" s="1250"/>
      <c r="F368" s="1250"/>
      <c r="G368" s="1250"/>
      <c r="H368" s="1250"/>
      <c r="I368" s="1250"/>
      <c r="J368" s="1250"/>
      <c r="K368" s="1250"/>
      <c r="L368" s="1250"/>
      <c r="M368" s="1250"/>
      <c r="N368" s="1250"/>
      <c r="O368" s="1284"/>
      <c r="P368" s="1284"/>
      <c r="Q368" s="1284"/>
      <c r="R368" s="1284"/>
      <c r="S368" s="1284"/>
      <c r="T368" s="1284"/>
      <c r="U368" s="1284"/>
      <c r="V368" s="1284"/>
      <c r="W368" s="1284"/>
      <c r="X368" s="1250"/>
      <c r="Y368" s="1250"/>
      <c r="Z368" s="1250"/>
      <c r="AA368" s="1250"/>
      <c r="AB368" s="1250"/>
      <c r="AC368" s="1250"/>
      <c r="AD368" s="1250"/>
      <c r="AE368" s="1250"/>
      <c r="AF368" s="1250"/>
      <c r="AG368" s="1250"/>
      <c r="AH368" s="1250"/>
      <c r="AI368" s="1250"/>
      <c r="AJ368" s="1250"/>
      <c r="AK368" s="1250"/>
      <c r="AL368" s="1250"/>
      <c r="AM368" s="1251"/>
    </row>
    <row r="369" spans="1:39" s="1252" customFormat="1">
      <c r="B369" s="1248"/>
      <c r="D369" s="1249"/>
      <c r="E369" s="1250"/>
      <c r="F369" s="1250"/>
      <c r="G369" s="1250"/>
      <c r="H369" s="1250"/>
      <c r="I369" s="1250"/>
      <c r="J369" s="1250"/>
      <c r="K369" s="1250"/>
      <c r="L369" s="1250"/>
      <c r="M369" s="1250"/>
      <c r="N369" s="1250"/>
      <c r="O369" s="1284"/>
      <c r="P369" s="1284"/>
      <c r="Q369" s="1284"/>
      <c r="R369" s="1284"/>
      <c r="S369" s="1284"/>
      <c r="T369" s="1284"/>
      <c r="U369" s="1284"/>
      <c r="V369" s="1284"/>
      <c r="W369" s="1284"/>
      <c r="X369" s="1250"/>
      <c r="Y369" s="1250"/>
      <c r="Z369" s="1250"/>
      <c r="AA369" s="1250"/>
      <c r="AB369" s="1250"/>
      <c r="AC369" s="1250"/>
      <c r="AD369" s="1250"/>
      <c r="AE369" s="1250"/>
      <c r="AF369" s="1250"/>
      <c r="AG369" s="1250"/>
      <c r="AH369" s="1250"/>
      <c r="AI369" s="1250"/>
      <c r="AJ369" s="1250"/>
      <c r="AK369" s="1250"/>
      <c r="AL369" s="1250"/>
      <c r="AM369" s="1251"/>
    </row>
    <row r="370" spans="1:39" s="1252" customFormat="1">
      <c r="B370" s="1248"/>
      <c r="D370" s="1249"/>
      <c r="E370" s="1250"/>
      <c r="F370" s="1250"/>
      <c r="G370" s="1250"/>
      <c r="H370" s="1250"/>
      <c r="I370" s="1250"/>
      <c r="J370" s="1250"/>
      <c r="K370" s="1250"/>
      <c r="L370" s="1250"/>
      <c r="M370" s="1250"/>
      <c r="N370" s="1250"/>
      <c r="O370" s="1284"/>
      <c r="P370" s="1284"/>
      <c r="Q370" s="1284"/>
      <c r="R370" s="1284"/>
      <c r="S370" s="1284"/>
      <c r="T370" s="1284"/>
      <c r="U370" s="1284"/>
      <c r="V370" s="1284"/>
      <c r="W370" s="1284"/>
      <c r="X370" s="1250"/>
      <c r="Y370" s="1250"/>
      <c r="Z370" s="1250"/>
      <c r="AA370" s="1250"/>
      <c r="AB370" s="1250"/>
      <c r="AC370" s="1250"/>
      <c r="AD370" s="1250"/>
      <c r="AE370" s="1250"/>
      <c r="AF370" s="1250"/>
      <c r="AG370" s="1250"/>
      <c r="AH370" s="1250"/>
      <c r="AI370" s="1250"/>
      <c r="AJ370" s="1250"/>
      <c r="AK370" s="1250"/>
      <c r="AL370" s="1250"/>
      <c r="AM370" s="1251"/>
    </row>
    <row r="373" spans="1:39" s="1252" customFormat="1">
      <c r="A373" s="1253"/>
      <c r="B373" s="1274"/>
      <c r="D373" s="1249"/>
      <c r="E373" s="1250"/>
      <c r="F373" s="1250"/>
      <c r="G373" s="1250"/>
      <c r="H373" s="1250"/>
      <c r="I373" s="1250"/>
      <c r="J373" s="1250"/>
      <c r="K373" s="1250"/>
      <c r="L373" s="1250"/>
      <c r="M373" s="1250"/>
      <c r="N373" s="1250"/>
      <c r="O373" s="1284"/>
      <c r="P373" s="1284"/>
      <c r="Q373" s="1284"/>
      <c r="R373" s="1284"/>
      <c r="S373" s="1284"/>
      <c r="T373" s="1284"/>
      <c r="U373" s="1284"/>
      <c r="V373" s="1284"/>
      <c r="W373" s="1284"/>
      <c r="X373" s="1250"/>
      <c r="Y373" s="1250"/>
      <c r="Z373" s="1250"/>
      <c r="AA373" s="1250"/>
      <c r="AB373" s="1250"/>
      <c r="AC373" s="1250"/>
      <c r="AD373" s="1250"/>
      <c r="AE373" s="1250"/>
      <c r="AF373" s="1250"/>
      <c r="AG373" s="1250"/>
      <c r="AH373" s="1250"/>
      <c r="AI373" s="1250"/>
      <c r="AJ373" s="1250"/>
      <c r="AK373" s="1250"/>
      <c r="AL373" s="1250"/>
      <c r="AM373" s="1251"/>
    </row>
    <row r="375" spans="1:39" s="1252" customFormat="1">
      <c r="A375" s="1253"/>
      <c r="B375" s="1274"/>
      <c r="D375" s="1249"/>
      <c r="E375" s="1250"/>
      <c r="F375" s="1250"/>
      <c r="G375" s="1250"/>
      <c r="H375" s="1250"/>
      <c r="I375" s="1250"/>
      <c r="J375" s="1250"/>
      <c r="K375" s="1250"/>
      <c r="L375" s="1250"/>
      <c r="M375" s="1250"/>
      <c r="N375" s="1250"/>
      <c r="O375" s="1284"/>
      <c r="P375" s="1284"/>
      <c r="Q375" s="1284"/>
      <c r="R375" s="1284"/>
      <c r="S375" s="1284"/>
      <c r="T375" s="1284"/>
      <c r="U375" s="1284"/>
      <c r="V375" s="1284"/>
      <c r="W375" s="1284"/>
      <c r="X375" s="1250"/>
      <c r="Y375" s="1250"/>
      <c r="Z375" s="1250"/>
      <c r="AA375" s="1250"/>
      <c r="AB375" s="1250"/>
      <c r="AC375" s="1250"/>
      <c r="AD375" s="1250"/>
      <c r="AE375" s="1250"/>
      <c r="AF375" s="1250"/>
      <c r="AG375" s="1250"/>
      <c r="AH375" s="1250"/>
      <c r="AI375" s="1250"/>
      <c r="AJ375" s="1250"/>
      <c r="AK375" s="1250"/>
      <c r="AL375" s="1250"/>
      <c r="AM375" s="1251"/>
    </row>
    <row r="378" spans="1:39">
      <c r="B378" s="1251"/>
      <c r="C378" s="1251"/>
      <c r="D378" s="1251"/>
      <c r="E378" s="1251"/>
      <c r="F378" s="1251"/>
      <c r="G378" s="1251"/>
      <c r="H378" s="1251"/>
    </row>
    <row r="379" spans="1:39">
      <c r="B379" s="1251"/>
      <c r="C379" s="1251"/>
      <c r="D379" s="1251"/>
      <c r="E379" s="1251"/>
      <c r="F379" s="1251"/>
      <c r="G379" s="1251"/>
      <c r="H379" s="1251"/>
    </row>
    <row r="380" spans="1:39">
      <c r="B380" s="1251"/>
      <c r="C380" s="1251"/>
      <c r="D380" s="1251"/>
      <c r="E380" s="1251"/>
      <c r="F380" s="1251"/>
      <c r="G380" s="1251"/>
      <c r="H380" s="1251"/>
    </row>
    <row r="381" spans="1:39">
      <c r="B381" s="1251"/>
      <c r="C381" s="1251"/>
      <c r="D381" s="1251"/>
      <c r="E381" s="1251"/>
      <c r="F381" s="1251"/>
      <c r="G381" s="1251"/>
      <c r="H381" s="1251"/>
    </row>
    <row r="382" spans="1:39">
      <c r="B382" s="1251"/>
      <c r="C382" s="1251"/>
      <c r="D382" s="1251"/>
      <c r="E382" s="1251"/>
      <c r="F382" s="1251"/>
      <c r="G382" s="1251"/>
      <c r="H382" s="1251"/>
    </row>
    <row r="383" spans="1:39">
      <c r="B383" s="1251"/>
      <c r="C383" s="1251"/>
      <c r="D383" s="1251"/>
      <c r="E383" s="1251"/>
      <c r="F383" s="1251"/>
      <c r="G383" s="1251"/>
      <c r="H383" s="1251"/>
    </row>
    <row r="384" spans="1:39">
      <c r="B384" s="1251"/>
      <c r="C384" s="1251"/>
      <c r="D384" s="1251"/>
      <c r="E384" s="1251"/>
      <c r="F384" s="1251"/>
      <c r="G384" s="1251"/>
      <c r="H384" s="1251"/>
    </row>
    <row r="385" spans="2:8">
      <c r="B385" s="1251"/>
      <c r="C385" s="1251"/>
      <c r="D385" s="1251"/>
      <c r="E385" s="1251"/>
      <c r="F385" s="1251"/>
      <c r="G385" s="1251"/>
      <c r="H385" s="1251"/>
    </row>
    <row r="386" spans="2:8">
      <c r="B386" s="1251"/>
      <c r="C386" s="1251"/>
      <c r="D386" s="1251"/>
      <c r="E386" s="1251"/>
      <c r="F386" s="1251"/>
      <c r="G386" s="1251"/>
      <c r="H386" s="1251"/>
    </row>
    <row r="387" spans="2:8">
      <c r="B387" s="1251"/>
      <c r="C387" s="1251"/>
      <c r="D387" s="1251"/>
      <c r="E387" s="1251"/>
      <c r="F387" s="1251"/>
      <c r="G387" s="1251"/>
      <c r="H387" s="1251"/>
    </row>
    <row r="388" spans="2:8">
      <c r="B388" s="1251"/>
      <c r="C388" s="1251"/>
      <c r="D388" s="1251"/>
      <c r="E388" s="1251"/>
      <c r="F388" s="1251"/>
      <c r="G388" s="1251"/>
      <c r="H388" s="1251"/>
    </row>
    <row r="389" spans="2:8">
      <c r="B389" s="1251"/>
      <c r="C389" s="1251"/>
      <c r="D389" s="1251"/>
      <c r="E389" s="1251"/>
      <c r="F389" s="1251"/>
      <c r="G389" s="1251"/>
      <c r="H389" s="1251"/>
    </row>
    <row r="390" spans="2:8">
      <c r="B390" s="1251"/>
      <c r="C390" s="1251"/>
      <c r="D390" s="1251"/>
      <c r="E390" s="1251"/>
      <c r="F390" s="1251"/>
      <c r="G390" s="1251"/>
      <c r="H390" s="1251"/>
    </row>
    <row r="391" spans="2:8">
      <c r="B391" s="1251"/>
      <c r="C391" s="1251"/>
      <c r="D391" s="1251"/>
      <c r="E391" s="1251"/>
      <c r="F391" s="1251"/>
      <c r="G391" s="1251"/>
      <c r="H391" s="1251"/>
    </row>
    <row r="392" spans="2:8">
      <c r="B392" s="1251"/>
      <c r="C392" s="1251"/>
      <c r="D392" s="1251"/>
      <c r="E392" s="1251"/>
      <c r="F392" s="1251"/>
      <c r="G392" s="1251"/>
      <c r="H392" s="1251"/>
    </row>
    <row r="393" spans="2:8">
      <c r="B393" s="1251"/>
      <c r="C393" s="1251"/>
      <c r="D393" s="1251"/>
      <c r="E393" s="1251"/>
      <c r="F393" s="1251"/>
      <c r="G393" s="1251"/>
      <c r="H393" s="1251"/>
    </row>
    <row r="394" spans="2:8">
      <c r="B394" s="1251"/>
      <c r="C394" s="1251"/>
      <c r="D394" s="1251"/>
      <c r="E394" s="1251"/>
      <c r="F394" s="1251"/>
      <c r="G394" s="1251"/>
      <c r="H394" s="1251"/>
    </row>
    <row r="395" spans="2:8">
      <c r="B395" s="1251"/>
      <c r="C395" s="1251"/>
      <c r="D395" s="1251"/>
      <c r="E395" s="1251"/>
      <c r="F395" s="1251"/>
      <c r="G395" s="1251"/>
      <c r="H395" s="1251"/>
    </row>
    <row r="396" spans="2:8">
      <c r="B396" s="1251"/>
      <c r="C396" s="1251"/>
      <c r="D396" s="1251"/>
      <c r="E396" s="1251"/>
      <c r="F396" s="1251"/>
      <c r="G396" s="1251"/>
      <c r="H396" s="1251"/>
    </row>
    <row r="397" spans="2:8">
      <c r="B397" s="1251"/>
      <c r="C397" s="1251"/>
      <c r="D397" s="1251"/>
      <c r="E397" s="1251"/>
      <c r="F397" s="1251"/>
      <c r="G397" s="1251"/>
      <c r="H397" s="1251"/>
    </row>
  </sheetData>
  <printOptions gridLines="1" gridLinesSet="0"/>
  <pageMargins left="0.78740157499999996" right="0.78740157499999996" top="0.984251969" bottom="0.984251969" header="0.4921259845" footer="0.4921259845"/>
  <pageSetup paperSize="9" orientation="portrait" horizontalDpi="4294967292" r:id="rId1"/>
  <headerFooter alignWithMargins="0">
    <oddHeader>&amp;F</oddHeader>
    <oddFooter>Seite &amp;P</oddFooter>
  </headerFooter>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8"/>
  <dimension ref="A1:L328"/>
  <sheetViews>
    <sheetView zoomScaleNormal="100" workbookViewId="0">
      <selection activeCell="H15" sqref="H15"/>
    </sheetView>
  </sheetViews>
  <sheetFormatPr baseColWidth="10" defaultColWidth="11.42578125" defaultRowHeight="12.75"/>
  <cols>
    <col min="1" max="1" width="27" style="318" customWidth="1"/>
    <col min="2" max="2" width="23.42578125" style="318" customWidth="1"/>
    <col min="3" max="3" width="24.28515625" style="318" customWidth="1"/>
    <col min="4" max="4" width="19.42578125" style="318" customWidth="1"/>
    <col min="5" max="6" width="14.5703125" style="318" customWidth="1"/>
    <col min="7" max="7" width="14.140625" style="346" customWidth="1"/>
    <col min="8" max="8" width="17.7109375" style="346" customWidth="1"/>
    <col min="9" max="9" width="19.85546875" style="346" customWidth="1"/>
    <col min="10" max="10" width="23.5703125" style="346" customWidth="1"/>
    <col min="11" max="12" width="11.42578125" style="346"/>
    <col min="13" max="16384" width="11.42578125" style="318"/>
  </cols>
  <sheetData>
    <row r="1" spans="1:12">
      <c r="A1" s="346"/>
      <c r="B1" s="24" t="s">
        <v>3759</v>
      </c>
      <c r="C1" s="346"/>
      <c r="D1" s="24"/>
      <c r="E1" s="24"/>
      <c r="F1" s="24"/>
      <c r="G1" s="24"/>
      <c r="H1" s="24"/>
      <c r="I1" s="24"/>
      <c r="J1" s="24"/>
      <c r="K1" s="24"/>
      <c r="L1" s="24"/>
    </row>
    <row r="2" spans="1:12">
      <c r="A2" s="346"/>
      <c r="B2" s="24" t="s">
        <v>3760</v>
      </c>
      <c r="C2" s="346"/>
      <c r="D2" s="24"/>
      <c r="E2" s="24"/>
      <c r="F2" s="24"/>
      <c r="G2" s="24"/>
      <c r="H2" s="24"/>
      <c r="I2" s="24"/>
      <c r="J2" s="24"/>
      <c r="K2" s="24"/>
      <c r="L2" s="24"/>
    </row>
    <row r="3" spans="1:12">
      <c r="A3" s="346"/>
      <c r="B3" s="62"/>
      <c r="C3" s="346"/>
      <c r="D3" s="346"/>
      <c r="E3" s="346"/>
      <c r="F3" s="24"/>
      <c r="G3" s="24"/>
      <c r="H3" s="24"/>
      <c r="I3" s="24"/>
      <c r="J3" s="24"/>
      <c r="K3" s="24"/>
      <c r="L3" s="24"/>
    </row>
    <row r="4" spans="1:12">
      <c r="A4" s="346"/>
      <c r="B4" s="346"/>
      <c r="C4" s="346"/>
      <c r="D4" s="24"/>
      <c r="E4" s="24"/>
      <c r="F4" s="24"/>
      <c r="G4" s="24"/>
      <c r="H4" s="24"/>
      <c r="I4" s="24"/>
      <c r="J4" s="24"/>
      <c r="K4" s="24"/>
      <c r="L4" s="24"/>
    </row>
    <row r="5" spans="1:12">
      <c r="A5" s="346"/>
      <c r="B5" s="24" t="s">
        <v>3843</v>
      </c>
      <c r="C5" s="346"/>
      <c r="D5" s="24"/>
      <c r="E5" s="24"/>
      <c r="F5" s="24"/>
      <c r="G5" s="24"/>
      <c r="H5" s="24"/>
      <c r="I5" s="24"/>
      <c r="J5" s="24"/>
      <c r="K5" s="24"/>
      <c r="L5" s="24"/>
    </row>
    <row r="6" spans="1:12">
      <c r="A6" s="346"/>
      <c r="B6" s="24" t="s">
        <v>3761</v>
      </c>
      <c r="C6" s="346"/>
      <c r="D6" s="24"/>
      <c r="E6" s="24"/>
      <c r="F6" s="24"/>
      <c r="G6" s="24"/>
      <c r="H6" s="24"/>
      <c r="I6" s="24"/>
      <c r="J6" s="24"/>
      <c r="K6" s="24"/>
      <c r="L6" s="24"/>
    </row>
    <row r="7" spans="1:12">
      <c r="A7" s="346"/>
      <c r="B7" s="24"/>
      <c r="C7" s="346"/>
      <c r="D7" s="24"/>
      <c r="E7" s="24"/>
      <c r="F7" s="24"/>
      <c r="G7" s="24"/>
      <c r="H7" s="24"/>
      <c r="I7" s="24"/>
      <c r="J7" s="24"/>
      <c r="K7" s="24"/>
      <c r="L7" s="24"/>
    </row>
    <row r="8" spans="1:12">
      <c r="A8" s="346"/>
      <c r="B8" s="65" t="s">
        <v>3762</v>
      </c>
      <c r="C8" s="346"/>
      <c r="D8" s="24"/>
      <c r="E8" s="24"/>
      <c r="F8" s="24"/>
      <c r="G8" s="24"/>
      <c r="H8" s="24"/>
      <c r="I8" s="24" t="s">
        <v>3763</v>
      </c>
      <c r="J8" s="24"/>
      <c r="K8" s="24"/>
      <c r="L8" s="24"/>
    </row>
    <row r="9" spans="1:12">
      <c r="A9" s="346"/>
      <c r="B9" s="24"/>
      <c r="C9" s="346"/>
      <c r="D9" s="24"/>
      <c r="E9" s="24"/>
      <c r="F9" s="24"/>
      <c r="H9" s="24"/>
      <c r="I9" s="24"/>
      <c r="J9" s="24"/>
      <c r="K9" s="24"/>
      <c r="L9" s="24"/>
    </row>
    <row r="10" spans="1:12">
      <c r="A10" s="346"/>
      <c r="B10" s="65" t="s">
        <v>3846</v>
      </c>
      <c r="C10" s="346"/>
      <c r="D10" s="24"/>
      <c r="E10" s="24"/>
      <c r="F10" s="1322" t="str">
        <f>VLOOKUP(B65,B27:F42,3,0)</f>
        <v>Sabine</v>
      </c>
      <c r="G10" s="24"/>
      <c r="H10" s="24"/>
      <c r="I10" s="24"/>
      <c r="J10" s="24"/>
      <c r="K10" s="24"/>
      <c r="L10" s="24"/>
    </row>
    <row r="11" spans="1:12">
      <c r="A11" s="346"/>
      <c r="B11" s="24"/>
      <c r="C11" s="346"/>
      <c r="D11" s="24"/>
      <c r="E11" s="24"/>
      <c r="F11" s="24"/>
      <c r="G11" s="24"/>
      <c r="H11" s="24"/>
      <c r="I11" s="24"/>
      <c r="J11" s="24"/>
      <c r="K11" s="24"/>
      <c r="L11" s="24"/>
    </row>
    <row r="12" spans="1:12">
      <c r="A12" s="346"/>
      <c r="B12" s="24" t="s">
        <v>3764</v>
      </c>
      <c r="C12" s="346"/>
      <c r="D12" s="24"/>
      <c r="E12" s="24"/>
      <c r="F12" s="24"/>
      <c r="G12" s="24"/>
      <c r="H12" s="24"/>
      <c r="I12" s="24"/>
      <c r="J12" s="24"/>
      <c r="K12" s="24"/>
      <c r="L12" s="24"/>
    </row>
    <row r="13" spans="1:12">
      <c r="A13" s="346"/>
      <c r="B13" s="24" t="s">
        <v>3847</v>
      </c>
      <c r="C13" s="346"/>
      <c r="D13" s="24"/>
      <c r="E13" s="24"/>
      <c r="F13" s="346"/>
    </row>
    <row r="14" spans="1:12">
      <c r="A14" s="346"/>
      <c r="B14" s="346"/>
      <c r="C14" s="24"/>
      <c r="D14" s="24"/>
      <c r="E14" s="24"/>
      <c r="F14" s="346"/>
    </row>
    <row r="15" spans="1:12">
      <c r="A15" s="346"/>
      <c r="C15" s="24"/>
      <c r="D15" s="24"/>
      <c r="E15" s="24"/>
      <c r="F15" s="346"/>
    </row>
    <row r="16" spans="1:12">
      <c r="A16" s="346"/>
      <c r="B16" s="346"/>
      <c r="C16" s="24"/>
      <c r="D16" s="24"/>
      <c r="E16" s="24"/>
      <c r="F16" s="346"/>
    </row>
    <row r="17" spans="1:6">
      <c r="A17" s="346"/>
      <c r="B17" s="346"/>
      <c r="C17" s="24"/>
      <c r="D17" s="24"/>
      <c r="E17" s="24"/>
      <c r="F17" s="346"/>
    </row>
    <row r="18" spans="1:6">
      <c r="A18" s="346"/>
      <c r="B18" s="346"/>
      <c r="C18" s="24"/>
      <c r="D18" s="24"/>
      <c r="E18" s="24"/>
      <c r="F18" s="346"/>
    </row>
    <row r="19" spans="1:6">
      <c r="A19" s="346"/>
      <c r="B19" s="346"/>
      <c r="C19" s="346"/>
      <c r="D19" s="346"/>
      <c r="E19" s="346"/>
      <c r="F19" s="346"/>
    </row>
    <row r="20" spans="1:6">
      <c r="A20" s="1076" t="s">
        <v>3765</v>
      </c>
      <c r="B20" s="345" t="s">
        <v>977</v>
      </c>
      <c r="C20" s="346"/>
      <c r="D20" s="346"/>
      <c r="E20" s="346"/>
      <c r="F20" s="346"/>
    </row>
    <row r="21" spans="1:6">
      <c r="A21" s="1076"/>
      <c r="B21" s="345" t="s">
        <v>3766</v>
      </c>
      <c r="C21" s="346"/>
      <c r="D21" s="346"/>
      <c r="E21" s="346"/>
      <c r="F21" s="346"/>
    </row>
    <row r="22" spans="1:6">
      <c r="A22" s="1076"/>
      <c r="B22" s="345" t="s">
        <v>3767</v>
      </c>
      <c r="C22" s="346"/>
      <c r="D22" s="346"/>
      <c r="E22" s="346"/>
      <c r="F22" s="346"/>
    </row>
    <row r="23" spans="1:6">
      <c r="A23" s="1076"/>
      <c r="B23" s="345"/>
      <c r="C23" s="346"/>
      <c r="D23" s="346"/>
      <c r="E23" s="346"/>
      <c r="F23" s="346"/>
    </row>
    <row r="24" spans="1:6">
      <c r="A24" s="1076"/>
      <c r="B24" s="346" t="s">
        <v>51</v>
      </c>
      <c r="C24" s="346" t="s">
        <v>52</v>
      </c>
      <c r="D24" s="346" t="s">
        <v>53</v>
      </c>
      <c r="E24" s="346" t="s">
        <v>3844</v>
      </c>
      <c r="F24" s="346" t="s">
        <v>3845</v>
      </c>
    </row>
    <row r="25" spans="1:6">
      <c r="A25" s="346"/>
      <c r="B25" s="346" t="s">
        <v>3841</v>
      </c>
      <c r="C25" s="346"/>
      <c r="D25" s="346"/>
      <c r="E25" s="346"/>
      <c r="F25" s="346"/>
    </row>
    <row r="26" spans="1:6">
      <c r="A26" s="346"/>
      <c r="B26" s="953" t="s">
        <v>3842</v>
      </c>
      <c r="C26" s="318" t="s">
        <v>3768</v>
      </c>
      <c r="D26" s="318" t="s">
        <v>3769</v>
      </c>
      <c r="E26" s="318" t="s">
        <v>3770</v>
      </c>
      <c r="F26" s="318" t="s">
        <v>3771</v>
      </c>
    </row>
    <row r="27" spans="1:6">
      <c r="A27" s="346"/>
      <c r="B27" s="945">
        <v>1</v>
      </c>
      <c r="C27" s="945" t="s">
        <v>3792</v>
      </c>
      <c r="D27" s="1319" t="s">
        <v>3793</v>
      </c>
      <c r="E27" s="1319" t="s">
        <v>3794</v>
      </c>
      <c r="F27" s="1320" t="s">
        <v>3795</v>
      </c>
    </row>
    <row r="28" spans="1:6">
      <c r="A28" s="346"/>
      <c r="B28" s="945">
        <v>2</v>
      </c>
      <c r="C28" s="1321" t="s">
        <v>3816</v>
      </c>
      <c r="D28" s="1319" t="s">
        <v>3817</v>
      </c>
      <c r="E28" s="1319" t="s">
        <v>3818</v>
      </c>
      <c r="F28" s="1320" t="s">
        <v>3819</v>
      </c>
    </row>
    <row r="29" spans="1:6">
      <c r="A29" s="346"/>
      <c r="B29" s="945">
        <v>3</v>
      </c>
      <c r="C29" s="1321" t="s">
        <v>3828</v>
      </c>
      <c r="D29" s="1319" t="s">
        <v>3829</v>
      </c>
      <c r="E29" s="1319" t="s">
        <v>3830</v>
      </c>
      <c r="F29" s="1320" t="s">
        <v>3831</v>
      </c>
    </row>
    <row r="30" spans="1:6">
      <c r="A30" s="346"/>
      <c r="B30" s="945">
        <v>4</v>
      </c>
      <c r="C30" s="945" t="s">
        <v>3804</v>
      </c>
      <c r="D30" s="1319" t="s">
        <v>3805</v>
      </c>
      <c r="E30" s="1319" t="s">
        <v>3806</v>
      </c>
      <c r="F30" s="1320" t="s">
        <v>3807</v>
      </c>
    </row>
    <row r="31" spans="1:6">
      <c r="A31" s="346"/>
      <c r="B31" s="945">
        <v>5</v>
      </c>
      <c r="C31" s="945" t="s">
        <v>3800</v>
      </c>
      <c r="D31" s="1319" t="s">
        <v>3801</v>
      </c>
      <c r="E31" s="1319" t="s">
        <v>3802</v>
      </c>
      <c r="F31" s="1320" t="s">
        <v>3803</v>
      </c>
    </row>
    <row r="32" spans="1:6">
      <c r="A32" s="346"/>
      <c r="B32" s="945">
        <v>6</v>
      </c>
      <c r="C32" s="1321" t="s">
        <v>3812</v>
      </c>
      <c r="D32" s="1319" t="s">
        <v>3813</v>
      </c>
      <c r="E32" s="1319" t="s">
        <v>3814</v>
      </c>
      <c r="F32" s="1320" t="s">
        <v>3815</v>
      </c>
    </row>
    <row r="33" spans="1:6">
      <c r="A33" s="346"/>
      <c r="B33" s="945">
        <v>7</v>
      </c>
      <c r="C33" s="945" t="s">
        <v>3772</v>
      </c>
      <c r="D33" s="1319" t="s">
        <v>3773</v>
      </c>
      <c r="E33" s="1319" t="s">
        <v>3774</v>
      </c>
      <c r="F33" s="1320" t="s">
        <v>3775</v>
      </c>
    </row>
    <row r="34" spans="1:6">
      <c r="A34" s="346"/>
      <c r="B34" s="945">
        <v>8</v>
      </c>
      <c r="C34" s="945" t="s">
        <v>3788</v>
      </c>
      <c r="D34" s="1319" t="s">
        <v>3789</v>
      </c>
      <c r="E34" s="1319" t="s">
        <v>3790</v>
      </c>
      <c r="F34" s="1320" t="s">
        <v>3791</v>
      </c>
    </row>
    <row r="35" spans="1:6">
      <c r="A35" s="346"/>
      <c r="B35" s="945">
        <v>9</v>
      </c>
      <c r="C35" s="1321" t="s">
        <v>3832</v>
      </c>
      <c r="D35" s="1319" t="s">
        <v>3833</v>
      </c>
      <c r="E35" s="1319" t="s">
        <v>3834</v>
      </c>
      <c r="F35" s="1320" t="s">
        <v>3835</v>
      </c>
    </row>
    <row r="36" spans="1:6">
      <c r="A36" s="346"/>
      <c r="B36" s="945">
        <v>10</v>
      </c>
      <c r="C36" s="945" t="s">
        <v>3776</v>
      </c>
      <c r="D36" s="1319" t="s">
        <v>3777</v>
      </c>
      <c r="E36" s="1319" t="s">
        <v>3778</v>
      </c>
      <c r="F36" s="1320" t="s">
        <v>3779</v>
      </c>
    </row>
    <row r="37" spans="1:6">
      <c r="A37" s="346"/>
      <c r="B37" s="945">
        <v>11</v>
      </c>
      <c r="C37" s="945" t="s">
        <v>3796</v>
      </c>
      <c r="D37" s="1319" t="s">
        <v>3797</v>
      </c>
      <c r="E37" s="1319" t="s">
        <v>3798</v>
      </c>
      <c r="F37" s="1320" t="s">
        <v>3799</v>
      </c>
    </row>
    <row r="38" spans="1:6">
      <c r="A38" s="346"/>
      <c r="B38" s="945">
        <v>12</v>
      </c>
      <c r="C38" s="1321" t="s">
        <v>3820</v>
      </c>
      <c r="D38" s="1319" t="s">
        <v>3821</v>
      </c>
      <c r="E38" s="1319" t="s">
        <v>3822</v>
      </c>
      <c r="F38" s="1320" t="s">
        <v>3823</v>
      </c>
    </row>
    <row r="39" spans="1:6">
      <c r="A39" s="346"/>
      <c r="B39" s="945">
        <v>13</v>
      </c>
      <c r="C39" s="1321" t="s">
        <v>3824</v>
      </c>
      <c r="D39" s="1319" t="s">
        <v>3825</v>
      </c>
      <c r="E39" s="1319" t="s">
        <v>3826</v>
      </c>
      <c r="F39" s="1320" t="s">
        <v>3827</v>
      </c>
    </row>
    <row r="40" spans="1:6">
      <c r="A40" s="346"/>
      <c r="B40" s="945">
        <v>14</v>
      </c>
      <c r="C40" s="945" t="s">
        <v>3780</v>
      </c>
      <c r="D40" s="1319" t="s">
        <v>3781</v>
      </c>
      <c r="E40" s="1319" t="s">
        <v>3782</v>
      </c>
      <c r="F40" s="1320" t="s">
        <v>3783</v>
      </c>
    </row>
    <row r="41" spans="1:6">
      <c r="A41" s="346"/>
      <c r="B41" s="945">
        <v>15</v>
      </c>
      <c r="C41" s="945" t="s">
        <v>3808</v>
      </c>
      <c r="D41" s="1319" t="s">
        <v>3809</v>
      </c>
      <c r="E41" s="1319" t="s">
        <v>3810</v>
      </c>
      <c r="F41" s="1320" t="s">
        <v>3811</v>
      </c>
    </row>
    <row r="42" spans="1:6">
      <c r="A42" s="346"/>
      <c r="B42" s="945">
        <v>16</v>
      </c>
      <c r="C42" s="945" t="s">
        <v>3784</v>
      </c>
      <c r="D42" s="1319" t="s">
        <v>3785</v>
      </c>
      <c r="E42" s="1319" t="s">
        <v>3786</v>
      </c>
      <c r="F42" s="1320" t="s">
        <v>3787</v>
      </c>
    </row>
    <row r="43" spans="1:6">
      <c r="A43" s="346"/>
      <c r="B43" s="346"/>
      <c r="C43" s="346"/>
      <c r="D43" s="346"/>
      <c r="E43" s="346"/>
      <c r="F43" s="346"/>
    </row>
    <row r="44" spans="1:6">
      <c r="A44" s="346"/>
      <c r="B44" s="346"/>
      <c r="C44" s="346"/>
      <c r="D44" s="346"/>
      <c r="E44" s="346"/>
      <c r="F44" s="346"/>
    </row>
    <row r="45" spans="1:6">
      <c r="A45" s="346"/>
      <c r="B45" s="346"/>
      <c r="C45" s="346"/>
      <c r="D45" s="346"/>
      <c r="E45" s="346"/>
      <c r="F45" s="346"/>
    </row>
    <row r="46" spans="1:6">
      <c r="A46" s="346"/>
      <c r="B46" s="346"/>
      <c r="C46" s="346"/>
      <c r="D46" s="346"/>
      <c r="E46" s="346"/>
      <c r="F46" s="346"/>
    </row>
    <row r="47" spans="1:6">
      <c r="A47" s="346"/>
      <c r="B47" s="814"/>
      <c r="C47" s="346"/>
      <c r="D47" s="346"/>
      <c r="E47" s="346"/>
      <c r="F47" s="346"/>
    </row>
    <row r="48" spans="1:6">
      <c r="A48" s="346"/>
      <c r="B48" s="814"/>
      <c r="C48" s="346"/>
      <c r="D48" s="346"/>
      <c r="E48" s="346"/>
      <c r="F48" s="346"/>
    </row>
    <row r="49" spans="1:6">
      <c r="A49" s="346"/>
      <c r="B49" s="346"/>
      <c r="C49" s="346"/>
      <c r="D49" s="346"/>
      <c r="E49" s="346"/>
      <c r="F49" s="346"/>
    </row>
    <row r="50" spans="1:6">
      <c r="A50" s="346"/>
      <c r="B50" s="346"/>
      <c r="C50" s="346"/>
      <c r="D50" s="346"/>
      <c r="E50" s="346"/>
      <c r="F50" s="346"/>
    </row>
    <row r="51" spans="1:6">
      <c r="A51" s="346"/>
      <c r="B51" s="346"/>
      <c r="C51" s="346"/>
      <c r="D51" s="346"/>
      <c r="E51" s="346"/>
      <c r="F51" s="346"/>
    </row>
    <row r="52" spans="1:6">
      <c r="A52" s="346"/>
      <c r="B52" s="346"/>
      <c r="C52" s="346"/>
      <c r="D52" s="346"/>
      <c r="E52" s="346"/>
      <c r="F52" s="346"/>
    </row>
    <row r="53" spans="1:6">
      <c r="A53" s="814" t="s">
        <v>3848</v>
      </c>
      <c r="B53" s="346"/>
      <c r="C53" s="346"/>
      <c r="D53" s="346"/>
      <c r="E53" s="346"/>
      <c r="F53" s="346"/>
    </row>
    <row r="54" spans="1:6">
      <c r="A54" s="814" t="s">
        <v>3836</v>
      </c>
      <c r="B54" s="346"/>
      <c r="C54" s="346"/>
      <c r="D54" s="346"/>
      <c r="E54" s="346"/>
      <c r="F54" s="346"/>
    </row>
    <row r="55" spans="1:6">
      <c r="B55" s="346"/>
      <c r="C55" s="346"/>
      <c r="D55" s="346"/>
      <c r="E55" s="346"/>
      <c r="F55" s="346"/>
    </row>
    <row r="56" spans="1:6">
      <c r="A56" s="346"/>
      <c r="B56" s="346"/>
      <c r="C56" s="346"/>
      <c r="D56" s="346"/>
      <c r="E56" s="346"/>
      <c r="F56" s="346"/>
    </row>
    <row r="57" spans="1:6">
      <c r="A57" s="440" t="s">
        <v>3837</v>
      </c>
      <c r="C57" s="346"/>
      <c r="D57" s="346"/>
      <c r="E57" s="346"/>
      <c r="F57" s="346"/>
    </row>
    <row r="58" spans="1:6">
      <c r="A58" s="346"/>
      <c r="B58" s="346"/>
      <c r="C58" s="346"/>
      <c r="D58" s="346"/>
      <c r="E58" s="346"/>
      <c r="F58" s="346"/>
    </row>
    <row r="59" spans="1:6">
      <c r="A59" s="1076" t="s">
        <v>3838</v>
      </c>
      <c r="B59" s="346"/>
      <c r="C59" s="1076" t="s">
        <v>3839</v>
      </c>
      <c r="D59" s="346"/>
      <c r="E59" s="346"/>
      <c r="F59" s="346"/>
    </row>
    <row r="60" spans="1:6">
      <c r="A60" s="346"/>
      <c r="B60" s="346"/>
      <c r="C60" s="346"/>
      <c r="D60" s="346"/>
      <c r="E60" s="346"/>
      <c r="F60" s="346"/>
    </row>
    <row r="61" spans="1:6">
      <c r="B61" s="28" t="s">
        <v>3840</v>
      </c>
      <c r="C61" s="28" t="s">
        <v>3768</v>
      </c>
      <c r="D61" s="28" t="s">
        <v>3769</v>
      </c>
      <c r="E61" s="28" t="s">
        <v>3770</v>
      </c>
      <c r="F61" s="28" t="s">
        <v>3771</v>
      </c>
    </row>
    <row r="62" spans="1:6">
      <c r="A62" s="346"/>
      <c r="B62" s="346" t="s">
        <v>3841</v>
      </c>
      <c r="C62" s="346"/>
      <c r="D62" s="346"/>
      <c r="E62" s="346"/>
      <c r="F62" s="346"/>
    </row>
    <row r="63" spans="1:6" ht="20.100000000000001" customHeight="1">
      <c r="A63" s="346"/>
      <c r="B63" s="346">
        <v>5</v>
      </c>
      <c r="C63" s="1322" t="str">
        <f t="shared" ref="C63:C70" si="0">VLOOKUP($B63,_xlnm.Database,2,0)</f>
        <v>Hohmann</v>
      </c>
      <c r="D63" s="1322" t="str">
        <f t="shared" ref="D63:D70" si="1">VLOOKUP($B63,_xlnm.Database,3,0)</f>
        <v>Franziska</v>
      </c>
      <c r="E63" s="1322" t="str">
        <f t="shared" ref="E63:E70" si="2">VLOOKUP($B63,_xlnm.Database,4,0)</f>
        <v>Rosenhöhe</v>
      </c>
      <c r="F63" s="1322" t="str">
        <f t="shared" ref="F63:F70" si="3">VLOOKUP($B63,_xlnm.Database,5,0)</f>
        <v>Herford</v>
      </c>
    </row>
    <row r="64" spans="1:6" ht="20.100000000000001" customHeight="1">
      <c r="A64" s="346"/>
      <c r="B64" s="346">
        <v>3</v>
      </c>
      <c r="C64" s="1322" t="str">
        <f t="shared" si="0"/>
        <v>Flurer</v>
      </c>
      <c r="D64" s="1322" t="str">
        <f t="shared" si="1"/>
        <v>Bernd</v>
      </c>
      <c r="E64" s="1322" t="str">
        <f t="shared" si="2"/>
        <v>Flurstück 2</v>
      </c>
      <c r="F64" s="1322" t="str">
        <f t="shared" si="3"/>
        <v>Stettin</v>
      </c>
    </row>
    <row r="65" spans="1:6" ht="20.100000000000001" customHeight="1">
      <c r="A65" s="346"/>
      <c r="B65" s="346">
        <v>6</v>
      </c>
      <c r="C65" s="1322" t="str">
        <f t="shared" si="0"/>
        <v>Kern</v>
      </c>
      <c r="D65" s="1322" t="str">
        <f t="shared" si="1"/>
        <v>Sabine</v>
      </c>
      <c r="E65" s="1322" t="str">
        <f t="shared" si="2"/>
        <v>Kernstraße</v>
      </c>
      <c r="F65" s="1322" t="str">
        <f t="shared" si="3"/>
        <v>Brilon</v>
      </c>
    </row>
    <row r="66" spans="1:6" ht="20.100000000000001" customHeight="1">
      <c r="A66" s="346"/>
      <c r="B66" s="346">
        <v>9</v>
      </c>
      <c r="C66" s="1322" t="str">
        <f t="shared" si="0"/>
        <v>Markowski</v>
      </c>
      <c r="D66" s="1322" t="str">
        <f t="shared" si="1"/>
        <v>Janine</v>
      </c>
      <c r="E66" s="1322" t="str">
        <f t="shared" si="2"/>
        <v>Marktplatz 5</v>
      </c>
      <c r="F66" s="1322" t="str">
        <f t="shared" si="3"/>
        <v>Heilbronn</v>
      </c>
    </row>
    <row r="67" spans="1:6" ht="20.100000000000001" customHeight="1">
      <c r="A67" s="346"/>
      <c r="B67" s="346">
        <v>5</v>
      </c>
      <c r="C67" s="1322" t="str">
        <f t="shared" si="0"/>
        <v>Hohmann</v>
      </c>
      <c r="D67" s="1322" t="str">
        <f t="shared" si="1"/>
        <v>Franziska</v>
      </c>
      <c r="E67" s="1322" t="str">
        <f t="shared" si="2"/>
        <v>Rosenhöhe</v>
      </c>
      <c r="F67" s="1322" t="str">
        <f t="shared" si="3"/>
        <v>Herford</v>
      </c>
    </row>
    <row r="68" spans="1:6" ht="20.100000000000001" customHeight="1">
      <c r="A68" s="346"/>
      <c r="B68" s="346">
        <v>8</v>
      </c>
      <c r="C68" s="1322" t="str">
        <f t="shared" si="0"/>
        <v>Krahmer</v>
      </c>
      <c r="D68" s="1322" t="str">
        <f t="shared" si="1"/>
        <v>Frank</v>
      </c>
      <c r="E68" s="1322" t="str">
        <f t="shared" si="2"/>
        <v>Heeper Straße</v>
      </c>
      <c r="F68" s="1322" t="str">
        <f t="shared" si="3"/>
        <v>London</v>
      </c>
    </row>
    <row r="69" spans="1:6" ht="20.100000000000001" customHeight="1">
      <c r="A69" s="346"/>
      <c r="B69" s="346">
        <v>13</v>
      </c>
      <c r="C69" s="1322" t="str">
        <f t="shared" si="0"/>
        <v>Patzke</v>
      </c>
      <c r="D69" s="1322" t="str">
        <f t="shared" si="1"/>
        <v>Jannik</v>
      </c>
      <c r="E69" s="1322" t="str">
        <f t="shared" si="2"/>
        <v>Kirchplatz</v>
      </c>
      <c r="F69" s="1322" t="str">
        <f t="shared" si="3"/>
        <v>Bayreuth</v>
      </c>
    </row>
    <row r="70" spans="1:6" ht="20.100000000000001" customHeight="1">
      <c r="A70" s="346"/>
      <c r="B70" s="346">
        <v>15</v>
      </c>
      <c r="C70" s="1322" t="str">
        <f t="shared" si="0"/>
        <v>Schulz</v>
      </c>
      <c r="D70" s="1322" t="str">
        <f t="shared" si="1"/>
        <v>Britta</v>
      </c>
      <c r="E70" s="1322" t="str">
        <f t="shared" si="2"/>
        <v>Salzstraße</v>
      </c>
      <c r="F70" s="1322" t="str">
        <f t="shared" si="3"/>
        <v>Hannover</v>
      </c>
    </row>
    <row r="71" spans="1:6">
      <c r="A71" s="346"/>
      <c r="B71" s="346"/>
      <c r="C71" s="346"/>
      <c r="D71" s="346"/>
      <c r="E71" s="346"/>
      <c r="F71" s="346"/>
    </row>
    <row r="72" spans="1:6">
      <c r="A72" s="346"/>
      <c r="B72" s="346"/>
      <c r="C72" s="346"/>
      <c r="D72" s="346"/>
      <c r="E72" s="346"/>
      <c r="F72" s="346"/>
    </row>
    <row r="73" spans="1:6">
      <c r="A73" s="346"/>
      <c r="B73" s="346"/>
      <c r="C73" s="346"/>
      <c r="D73" s="346"/>
      <c r="E73" s="346"/>
      <c r="F73" s="346"/>
    </row>
    <row r="74" spans="1:6">
      <c r="A74" s="346"/>
      <c r="B74" s="346"/>
      <c r="C74" s="346"/>
      <c r="D74" s="346"/>
      <c r="E74" s="346"/>
      <c r="F74" s="346"/>
    </row>
    <row r="75" spans="1:6">
      <c r="A75" s="346"/>
      <c r="B75" s="346"/>
      <c r="C75" s="346"/>
      <c r="D75" s="346"/>
      <c r="E75" s="346"/>
      <c r="F75" s="346"/>
    </row>
    <row r="76" spans="1:6">
      <c r="A76" s="346"/>
      <c r="B76" s="346"/>
      <c r="C76" s="346"/>
      <c r="D76" s="346"/>
      <c r="E76" s="346"/>
      <c r="F76" s="346"/>
    </row>
    <row r="77" spans="1:6">
      <c r="A77" s="346"/>
      <c r="B77" s="346"/>
      <c r="C77" s="346"/>
      <c r="D77" s="346"/>
      <c r="E77" s="346"/>
      <c r="F77" s="346"/>
    </row>
    <row r="78" spans="1:6">
      <c r="A78" s="62" t="s">
        <v>3889</v>
      </c>
      <c r="B78" s="346"/>
      <c r="C78" s="346"/>
      <c r="D78" s="346"/>
      <c r="E78" s="346"/>
      <c r="F78" s="346"/>
    </row>
    <row r="79" spans="1:6">
      <c r="A79" s="346"/>
      <c r="B79" s="346"/>
      <c r="C79" s="346"/>
      <c r="D79" s="346"/>
      <c r="E79" s="346"/>
      <c r="F79" s="346"/>
    </row>
    <row r="80" spans="1:6">
      <c r="B80" s="346"/>
      <c r="C80" s="346"/>
      <c r="D80" s="346"/>
      <c r="E80" s="346"/>
      <c r="F80" s="346"/>
    </row>
    <row r="81" spans="1:6">
      <c r="A81" s="1076" t="s">
        <v>3887</v>
      </c>
      <c r="B81" s="346"/>
      <c r="C81" s="346"/>
      <c r="D81" s="346"/>
      <c r="E81" s="346"/>
      <c r="F81" s="346"/>
    </row>
    <row r="82" spans="1:6">
      <c r="A82" s="1076" t="s">
        <v>3888</v>
      </c>
      <c r="B82" s="345"/>
      <c r="C82" s="346"/>
      <c r="D82" s="346"/>
      <c r="E82" s="346"/>
      <c r="F82" s="346"/>
    </row>
    <row r="83" spans="1:6">
      <c r="A83" s="346"/>
      <c r="B83" s="346"/>
      <c r="C83" s="346"/>
      <c r="D83" s="346"/>
      <c r="E83" s="346"/>
      <c r="F83" s="346"/>
    </row>
    <row r="84" spans="1:6">
      <c r="A84" s="346"/>
      <c r="B84" s="346" t="s">
        <v>3849</v>
      </c>
      <c r="C84" s="346" t="s">
        <v>3849</v>
      </c>
      <c r="D84" s="346" t="s">
        <v>3850</v>
      </c>
      <c r="E84" s="346" t="s">
        <v>3851</v>
      </c>
      <c r="F84" s="346" t="s">
        <v>3891</v>
      </c>
    </row>
    <row r="85" spans="1:6">
      <c r="A85" s="346"/>
      <c r="B85" s="346" t="s">
        <v>3852</v>
      </c>
      <c r="C85" s="346" t="s">
        <v>3853</v>
      </c>
      <c r="D85" s="346" t="s">
        <v>3890</v>
      </c>
      <c r="E85" s="346" t="s">
        <v>3855</v>
      </c>
      <c r="F85" s="346"/>
    </row>
    <row r="86" spans="1:6">
      <c r="A86" s="346"/>
      <c r="B86" s="1322" t="s">
        <v>3856</v>
      </c>
      <c r="C86" s="1322" t="s">
        <v>3857</v>
      </c>
      <c r="D86" s="1330">
        <v>5</v>
      </c>
      <c r="E86" s="1323">
        <v>0.08</v>
      </c>
      <c r="F86" s="1324">
        <v>0.19</v>
      </c>
    </row>
    <row r="87" spans="1:6">
      <c r="A87" s="346"/>
      <c r="B87" s="1322" t="s">
        <v>3858</v>
      </c>
      <c r="C87" s="1322" t="s">
        <v>3859</v>
      </c>
      <c r="D87" s="1330">
        <v>4.9000000000000004</v>
      </c>
      <c r="E87" s="1323">
        <v>0.1</v>
      </c>
      <c r="F87" s="1324">
        <v>0.19</v>
      </c>
    </row>
    <row r="88" spans="1:6">
      <c r="A88" s="346"/>
      <c r="B88" s="1322" t="s">
        <v>3860</v>
      </c>
      <c r="C88" s="1322" t="s">
        <v>3861</v>
      </c>
      <c r="D88" s="1330">
        <v>5.3</v>
      </c>
      <c r="E88" s="1323">
        <v>0.05</v>
      </c>
      <c r="F88" s="1324">
        <v>0.19</v>
      </c>
    </row>
    <row r="89" spans="1:6">
      <c r="A89" s="346"/>
      <c r="B89" s="1322" t="s">
        <v>3862</v>
      </c>
      <c r="C89" s="1322" t="s">
        <v>3863</v>
      </c>
      <c r="D89" s="1330">
        <v>5.8</v>
      </c>
      <c r="E89" s="1323">
        <v>0.15</v>
      </c>
      <c r="F89" s="1324">
        <v>0.19</v>
      </c>
    </row>
    <row r="90" spans="1:6">
      <c r="A90" s="346"/>
      <c r="B90" s="1322" t="s">
        <v>3864</v>
      </c>
      <c r="C90" s="1322" t="s">
        <v>3865</v>
      </c>
      <c r="D90" s="1330">
        <v>4.5999999999999996</v>
      </c>
      <c r="E90" s="1323">
        <v>0.06</v>
      </c>
      <c r="F90" s="1324">
        <v>0.19</v>
      </c>
    </row>
    <row r="91" spans="1:6">
      <c r="A91" s="346"/>
      <c r="B91" s="1322" t="s">
        <v>3866</v>
      </c>
      <c r="C91" s="1322" t="s">
        <v>3867</v>
      </c>
      <c r="D91" s="1330">
        <v>5</v>
      </c>
      <c r="E91" s="1323">
        <v>0.12</v>
      </c>
      <c r="F91" s="1324">
        <v>0.19</v>
      </c>
    </row>
    <row r="92" spans="1:6">
      <c r="A92" s="346"/>
      <c r="B92" s="1322" t="s">
        <v>3868</v>
      </c>
      <c r="C92" s="1322" t="s">
        <v>3869</v>
      </c>
      <c r="D92" s="1330">
        <v>5.7</v>
      </c>
      <c r="E92" s="1323">
        <v>0.06</v>
      </c>
      <c r="F92" s="1324">
        <v>0.19</v>
      </c>
    </row>
    <row r="93" spans="1:6">
      <c r="A93" s="346"/>
      <c r="B93" s="1322" t="s">
        <v>3870</v>
      </c>
      <c r="C93" s="1322" t="s">
        <v>3871</v>
      </c>
      <c r="D93" s="1330">
        <v>6</v>
      </c>
      <c r="E93" s="1323">
        <v>0.05</v>
      </c>
      <c r="F93" s="1324">
        <v>0.19</v>
      </c>
    </row>
    <row r="94" spans="1:6">
      <c r="A94" s="346"/>
      <c r="B94" s="1322" t="s">
        <v>3872</v>
      </c>
      <c r="C94" s="1322" t="s">
        <v>3873</v>
      </c>
      <c r="D94" s="1330">
        <v>5.4</v>
      </c>
      <c r="E94" s="1323">
        <v>0.1</v>
      </c>
      <c r="F94" s="1324">
        <v>0.19</v>
      </c>
    </row>
    <row r="95" spans="1:6">
      <c r="A95" s="346"/>
      <c r="B95" s="1322" t="s">
        <v>3874</v>
      </c>
      <c r="C95" s="1322" t="s">
        <v>3875</v>
      </c>
      <c r="D95" s="1330">
        <v>5.9</v>
      </c>
      <c r="E95" s="1323">
        <v>7.4999999999999997E-2</v>
      </c>
      <c r="F95" s="1324">
        <v>0.19</v>
      </c>
    </row>
    <row r="96" spans="1:6">
      <c r="A96" s="346"/>
      <c r="B96" s="346"/>
      <c r="C96" s="346"/>
      <c r="D96" s="346"/>
      <c r="E96" s="346"/>
      <c r="F96" s="346"/>
    </row>
    <row r="97" spans="1:10">
      <c r="A97" s="346"/>
      <c r="B97" s="346"/>
      <c r="C97" s="346"/>
      <c r="D97" s="346"/>
      <c r="E97" s="346"/>
      <c r="F97" s="346"/>
    </row>
    <row r="98" spans="1:10">
      <c r="A98" s="345" t="s">
        <v>977</v>
      </c>
      <c r="B98" s="346"/>
      <c r="C98" s="346"/>
      <c r="D98" s="346"/>
      <c r="E98" s="346"/>
      <c r="F98" s="346"/>
    </row>
    <row r="99" spans="1:10">
      <c r="A99" s="346"/>
      <c r="B99" s="346"/>
      <c r="C99" s="346"/>
      <c r="D99" s="346"/>
      <c r="E99" s="346"/>
      <c r="F99" s="346"/>
    </row>
    <row r="100" spans="1:10">
      <c r="A100" s="346"/>
      <c r="B100" s="1076" t="s">
        <v>3876</v>
      </c>
      <c r="C100" s="1076" t="s">
        <v>3849</v>
      </c>
      <c r="D100" s="585" t="s">
        <v>3849</v>
      </c>
      <c r="E100" s="346" t="s">
        <v>3850</v>
      </c>
      <c r="F100" s="346" t="s">
        <v>3891</v>
      </c>
      <c r="G100" s="346" t="s">
        <v>3891</v>
      </c>
      <c r="H100" s="585" t="s">
        <v>3877</v>
      </c>
      <c r="I100" s="585" t="s">
        <v>3878</v>
      </c>
      <c r="J100" s="585" t="s">
        <v>3879</v>
      </c>
    </row>
    <row r="101" spans="1:10">
      <c r="A101" s="346"/>
      <c r="B101" s="1076"/>
      <c r="C101" s="1076" t="s">
        <v>3852</v>
      </c>
      <c r="D101" s="585" t="s">
        <v>3880</v>
      </c>
      <c r="E101" s="346" t="s">
        <v>3890</v>
      </c>
      <c r="F101" s="585"/>
      <c r="G101" s="346" t="s">
        <v>3892</v>
      </c>
      <c r="H101" s="585" t="s">
        <v>3854</v>
      </c>
      <c r="I101" s="585"/>
      <c r="J101" s="585"/>
    </row>
    <row r="102" spans="1:10">
      <c r="A102" s="346"/>
      <c r="B102" s="1327">
        <v>2</v>
      </c>
      <c r="C102" s="1327" t="s">
        <v>3856</v>
      </c>
      <c r="D102" s="1373" t="str">
        <f>VLOOKUP(C102,B86:F95,2,0)</f>
        <v>Agfacolor 50</v>
      </c>
      <c r="E102" s="1331">
        <f>VLOOKUP(C102,B86:F95,3,0)</f>
        <v>5</v>
      </c>
      <c r="F102" s="1324">
        <f>VLOOKUP(C102,B86:F95,5,0)</f>
        <v>0.19</v>
      </c>
      <c r="G102" s="1329">
        <f>B102*E102*F102</f>
        <v>1.9</v>
      </c>
      <c r="H102" s="1325">
        <f t="shared" ref="H102:H109" si="4">B102*E102*(1+F102)</f>
        <v>11.899999999999999</v>
      </c>
      <c r="I102" s="1326">
        <f>VLOOKUP(C102,B86:F95,4,0)</f>
        <v>0.08</v>
      </c>
      <c r="J102" s="1325">
        <f t="shared" ref="J102:J109" si="5">H102-H102*I102</f>
        <v>10.947999999999999</v>
      </c>
    </row>
    <row r="103" spans="1:10">
      <c r="A103" s="346"/>
      <c r="B103" s="1327">
        <v>8</v>
      </c>
      <c r="C103" s="1327" t="s">
        <v>3881</v>
      </c>
      <c r="D103" s="1373" t="str">
        <f>VLOOKUP(C103,B86:F95,2,0)</f>
        <v>Kodak 400</v>
      </c>
      <c r="E103" s="1331">
        <f>VLOOKUP(C103,B86:F95,3,0)</f>
        <v>6</v>
      </c>
      <c r="F103" s="1324">
        <f>VLOOKUP(C103,B86:F95,5,0)</f>
        <v>0.19</v>
      </c>
      <c r="G103" s="1329">
        <f t="shared" ref="G103:G109" si="6">B103*E103*F103</f>
        <v>9.120000000000001</v>
      </c>
      <c r="H103" s="1325">
        <f t="shared" si="4"/>
        <v>57.12</v>
      </c>
      <c r="I103" s="1326">
        <f>VLOOKUP(C103,B86:F95,4,0)</f>
        <v>0.05</v>
      </c>
      <c r="J103" s="1325">
        <f t="shared" si="5"/>
        <v>54.263999999999996</v>
      </c>
    </row>
    <row r="104" spans="1:10">
      <c r="A104" s="346"/>
      <c r="B104" s="1327">
        <v>12</v>
      </c>
      <c r="C104" s="1327" t="s">
        <v>3882</v>
      </c>
      <c r="D104" s="1373" t="str">
        <f>VLOOKUP(C104,B86:F95,2,0)</f>
        <v>Fuji Velvia 100</v>
      </c>
      <c r="E104" s="1331">
        <f>VLOOKUP(C104,B86:F95,3,0)</f>
        <v>5.9</v>
      </c>
      <c r="F104" s="1324">
        <f>VLOOKUP(C104,B86:F95,5,0)</f>
        <v>0.19</v>
      </c>
      <c r="G104" s="1329">
        <f t="shared" si="6"/>
        <v>13.452000000000002</v>
      </c>
      <c r="H104" s="1325">
        <f t="shared" si="4"/>
        <v>84.25200000000001</v>
      </c>
      <c r="I104" s="1326">
        <f>VLOOKUP(C104,B86:F95,4,0)</f>
        <v>7.4999999999999997E-2</v>
      </c>
      <c r="J104" s="1325">
        <f t="shared" si="5"/>
        <v>77.93310000000001</v>
      </c>
    </row>
    <row r="105" spans="1:10">
      <c r="A105" s="346"/>
      <c r="B105" s="1327">
        <v>34</v>
      </c>
      <c r="C105" s="1327" t="s">
        <v>3883</v>
      </c>
      <c r="D105" s="1373" t="str">
        <f>VLOOKUP(C105,B86:F95,2,0)</f>
        <v>Agfachrome 400</v>
      </c>
      <c r="E105" s="1331">
        <f>VLOOKUP(C105,B86:F95,3,0)</f>
        <v>5.8</v>
      </c>
      <c r="F105" s="1324">
        <f>VLOOKUP(C105,B86:F95,5,0)</f>
        <v>0.19</v>
      </c>
      <c r="G105" s="1329">
        <f t="shared" si="6"/>
        <v>37.467999999999996</v>
      </c>
      <c r="H105" s="1325">
        <f t="shared" si="4"/>
        <v>234.66799999999998</v>
      </c>
      <c r="I105" s="1326">
        <f>VLOOKUP(C105,B86:F95,4,0)</f>
        <v>0.15</v>
      </c>
      <c r="J105" s="1325">
        <f t="shared" si="5"/>
        <v>199.46779999999998</v>
      </c>
    </row>
    <row r="106" spans="1:10">
      <c r="A106" s="346"/>
      <c r="B106" s="1327">
        <v>5</v>
      </c>
      <c r="C106" s="1327" t="s">
        <v>3884</v>
      </c>
      <c r="D106" s="1373" t="str">
        <f>VLOOKUP(C106,B86:F95,2,0)</f>
        <v>Kodak Ektachrome 200</v>
      </c>
      <c r="E106" s="1331">
        <f>VLOOKUP(C106,B86:F95,3,0)</f>
        <v>5.7</v>
      </c>
      <c r="F106" s="1324">
        <f>VLOOKUP(C106,B86:F95,5,0)</f>
        <v>0.19</v>
      </c>
      <c r="G106" s="1329">
        <f t="shared" si="6"/>
        <v>5.415</v>
      </c>
      <c r="H106" s="1325">
        <f t="shared" si="4"/>
        <v>33.914999999999999</v>
      </c>
      <c r="I106" s="1326">
        <f>VLOOKUP(C106,B86:F95,4,0)</f>
        <v>0.06</v>
      </c>
      <c r="J106" s="1325">
        <f t="shared" si="5"/>
        <v>31.880099999999999</v>
      </c>
    </row>
    <row r="107" spans="1:10">
      <c r="A107" s="346"/>
      <c r="B107" s="1327">
        <v>21</v>
      </c>
      <c r="C107" s="1327" t="s">
        <v>3885</v>
      </c>
      <c r="D107" s="1373" t="str">
        <f>VLOOKUP(C107,B86:F95,2,0)</f>
        <v>Fuji Velvia 50</v>
      </c>
      <c r="E107" s="1331">
        <f>VLOOKUP(C107,B86:F95,3,0)</f>
        <v>5.4</v>
      </c>
      <c r="F107" s="1324">
        <f>VLOOKUP(C107,B86:F95,5,0)</f>
        <v>0.19</v>
      </c>
      <c r="G107" s="1329">
        <f t="shared" si="6"/>
        <v>21.546000000000003</v>
      </c>
      <c r="H107" s="1325">
        <f t="shared" si="4"/>
        <v>134.946</v>
      </c>
      <c r="I107" s="1326">
        <f>VLOOKUP(C107,B86:F95,4,0)</f>
        <v>0.1</v>
      </c>
      <c r="J107" s="1325">
        <f t="shared" si="5"/>
        <v>121.45139999999999</v>
      </c>
    </row>
    <row r="108" spans="1:10">
      <c r="A108" s="346"/>
      <c r="B108" s="1327">
        <v>65</v>
      </c>
      <c r="C108" s="1327" t="s">
        <v>3886</v>
      </c>
      <c r="D108" s="1373" t="str">
        <f>VLOOKUP(C108,B86:F95,2,0)</f>
        <v>Agfachrome 200</v>
      </c>
      <c r="E108" s="1331">
        <f>VLOOKUP(C108,B86:F95,3,0)</f>
        <v>5.3</v>
      </c>
      <c r="F108" s="1324">
        <f>VLOOKUP(C108,B86:F95,5,0)</f>
        <v>0.19</v>
      </c>
      <c r="G108" s="1329">
        <f t="shared" si="6"/>
        <v>65.454999999999998</v>
      </c>
      <c r="H108" s="1325">
        <f t="shared" si="4"/>
        <v>409.95499999999998</v>
      </c>
      <c r="I108" s="1326">
        <f>VLOOKUP(C108,B86:F95,4,0)</f>
        <v>0.05</v>
      </c>
      <c r="J108" s="1325">
        <f t="shared" si="5"/>
        <v>389.45724999999999</v>
      </c>
    </row>
    <row r="109" spans="1:10">
      <c r="A109" s="346"/>
      <c r="B109" s="1327">
        <v>8</v>
      </c>
      <c r="C109" s="1327" t="s">
        <v>3870</v>
      </c>
      <c r="D109" s="1373" t="str">
        <f>VLOOKUP(C109,B86:F95,2,0)</f>
        <v>Kodak 400</v>
      </c>
      <c r="E109" s="1331">
        <f>VLOOKUP(C109,B86:F95,3,0)</f>
        <v>6</v>
      </c>
      <c r="F109" s="1324">
        <f>VLOOKUP(C109,B86:F95,5,0)</f>
        <v>0.19</v>
      </c>
      <c r="G109" s="1329">
        <f t="shared" si="6"/>
        <v>9.120000000000001</v>
      </c>
      <c r="H109" s="1325">
        <f t="shared" si="4"/>
        <v>57.12</v>
      </c>
      <c r="I109" s="1326">
        <f>VLOOKUP(C109,B86:F95,4,0)</f>
        <v>0.05</v>
      </c>
      <c r="J109" s="1325">
        <f t="shared" si="5"/>
        <v>54.263999999999996</v>
      </c>
    </row>
    <row r="110" spans="1:10">
      <c r="A110" s="346"/>
      <c r="B110" s="346"/>
      <c r="C110" s="346"/>
      <c r="D110" s="346"/>
      <c r="E110" s="346"/>
      <c r="F110" s="346"/>
    </row>
    <row r="111" spans="1:10">
      <c r="A111" s="346"/>
      <c r="B111" s="346"/>
      <c r="C111" s="346"/>
      <c r="D111" s="346" t="s">
        <v>3428</v>
      </c>
      <c r="E111" s="1328">
        <f>SUM(E102:E109)</f>
        <v>45.099999999999994</v>
      </c>
      <c r="F111" s="1328"/>
      <c r="G111" s="1328">
        <f>SUM(G102:G109)</f>
        <v>163.476</v>
      </c>
      <c r="H111" s="1328">
        <f>SUM(H102:H109)</f>
        <v>1023.8759999999999</v>
      </c>
      <c r="I111" s="1328"/>
      <c r="J111" s="1328">
        <f>SUM(J102:J109)</f>
        <v>939.66564999999991</v>
      </c>
    </row>
    <row r="112" spans="1:10">
      <c r="A112" s="346"/>
      <c r="B112" s="346"/>
      <c r="C112" s="346"/>
      <c r="D112" s="346"/>
      <c r="E112" s="346"/>
      <c r="F112" s="346"/>
    </row>
    <row r="113" spans="1:6">
      <c r="A113" s="346"/>
      <c r="B113" s="346"/>
      <c r="C113" s="346"/>
      <c r="D113" s="346"/>
      <c r="E113" s="346"/>
      <c r="F113" s="346"/>
    </row>
    <row r="114" spans="1:6">
      <c r="A114" s="346"/>
      <c r="B114" s="346"/>
      <c r="C114" s="346"/>
      <c r="D114" s="346"/>
      <c r="E114" s="346"/>
      <c r="F114" s="346"/>
    </row>
    <row r="115" spans="1:6">
      <c r="A115" s="346"/>
      <c r="B115" s="346"/>
      <c r="C115" s="346"/>
      <c r="D115" s="346"/>
      <c r="E115" s="346"/>
      <c r="F115" s="346"/>
    </row>
    <row r="116" spans="1:6">
      <c r="A116" s="346"/>
      <c r="B116" s="346"/>
      <c r="C116" s="346"/>
      <c r="D116" s="346"/>
      <c r="E116" s="346"/>
      <c r="F116" s="346"/>
    </row>
    <row r="117" spans="1:6">
      <c r="A117" s="346"/>
      <c r="B117" s="346"/>
      <c r="C117" s="24"/>
      <c r="D117" s="24"/>
      <c r="E117" s="24"/>
      <c r="F117" s="346"/>
    </row>
    <row r="118" spans="1:6">
      <c r="A118" s="346"/>
      <c r="B118" s="346"/>
      <c r="C118" s="24"/>
      <c r="D118" s="24"/>
      <c r="E118" s="24"/>
      <c r="F118" s="346"/>
    </row>
    <row r="119" spans="1:6">
      <c r="A119" s="346"/>
      <c r="B119" s="24" t="s">
        <v>3893</v>
      </c>
      <c r="C119" s="24"/>
      <c r="D119" s="24"/>
      <c r="E119" s="24"/>
      <c r="F119" s="346"/>
    </row>
    <row r="120" spans="1:6">
      <c r="A120" s="346"/>
      <c r="B120" s="24" t="s">
        <v>3894</v>
      </c>
      <c r="C120" s="24"/>
      <c r="D120" s="24"/>
      <c r="E120" s="24"/>
      <c r="F120" s="346"/>
    </row>
    <row r="121" spans="1:6">
      <c r="A121" s="346"/>
      <c r="B121" s="24"/>
      <c r="C121" s="24"/>
      <c r="D121" s="24"/>
      <c r="E121" s="24"/>
      <c r="F121" s="346"/>
    </row>
    <row r="122" spans="1:6">
      <c r="A122" s="346"/>
      <c r="B122" s="24" t="s">
        <v>3895</v>
      </c>
      <c r="C122" s="24"/>
      <c r="D122" s="24"/>
      <c r="E122" s="24"/>
      <c r="F122" s="346"/>
    </row>
    <row r="123" spans="1:6">
      <c r="A123" s="346"/>
      <c r="B123" s="24" t="s">
        <v>3896</v>
      </c>
      <c r="C123" s="24"/>
      <c r="D123" s="24"/>
      <c r="E123" s="24"/>
      <c r="F123" s="346"/>
    </row>
    <row r="124" spans="1:6">
      <c r="A124" s="346"/>
      <c r="B124" s="24" t="s">
        <v>3897</v>
      </c>
      <c r="C124" s="24"/>
      <c r="D124" s="24"/>
      <c r="E124" s="24"/>
      <c r="F124" s="346"/>
    </row>
    <row r="125" spans="1:6">
      <c r="A125" s="346"/>
      <c r="B125" s="24" t="s">
        <v>3944</v>
      </c>
      <c r="C125" s="24"/>
      <c r="D125" s="24"/>
      <c r="E125" s="24"/>
      <c r="F125" s="346"/>
    </row>
    <row r="126" spans="1:6">
      <c r="A126" s="346"/>
      <c r="B126" s="24"/>
      <c r="C126" s="24"/>
      <c r="D126" s="24"/>
      <c r="E126" s="24"/>
      <c r="F126" s="346"/>
    </row>
    <row r="127" spans="1:6">
      <c r="A127" s="346"/>
      <c r="B127" s="24" t="s">
        <v>3942</v>
      </c>
      <c r="C127" s="346"/>
      <c r="D127" s="346"/>
      <c r="E127" s="346"/>
      <c r="F127" s="346"/>
    </row>
    <row r="128" spans="1:6">
      <c r="A128" s="346"/>
      <c r="B128" s="24" t="s">
        <v>3943</v>
      </c>
      <c r="C128" s="62"/>
      <c r="D128" s="62"/>
      <c r="E128" s="62"/>
      <c r="F128" s="346"/>
    </row>
    <row r="129" spans="1:8">
      <c r="A129" s="346"/>
      <c r="B129" s="24"/>
      <c r="C129" s="62"/>
      <c r="D129" s="62"/>
      <c r="E129" s="1332"/>
      <c r="F129" s="346"/>
    </row>
    <row r="130" spans="1:8">
      <c r="A130" s="346"/>
      <c r="B130" s="62" t="s">
        <v>3945</v>
      </c>
      <c r="C130" s="62"/>
      <c r="D130" s="62"/>
      <c r="E130" s="1332"/>
      <c r="F130" s="346"/>
    </row>
    <row r="131" spans="1:8">
      <c r="A131" s="346"/>
      <c r="B131" s="346"/>
      <c r="C131" s="62"/>
      <c r="D131" s="62"/>
      <c r="E131" s="1332"/>
      <c r="F131" s="346"/>
    </row>
    <row r="132" spans="1:8">
      <c r="A132" s="346"/>
      <c r="B132" s="62" t="s">
        <v>3946</v>
      </c>
      <c r="C132" s="62"/>
      <c r="D132" s="62"/>
      <c r="E132" s="1332"/>
      <c r="F132" s="346"/>
    </row>
    <row r="133" spans="1:8">
      <c r="A133" s="346"/>
      <c r="B133" s="62" t="s">
        <v>3947</v>
      </c>
      <c r="C133" s="62"/>
      <c r="D133" s="62"/>
      <c r="E133" s="1332"/>
      <c r="F133" s="346"/>
    </row>
    <row r="134" spans="1:8">
      <c r="A134" s="346"/>
      <c r="B134" s="62" t="s">
        <v>3948</v>
      </c>
      <c r="C134" s="346"/>
      <c r="D134" s="346"/>
      <c r="E134" s="346"/>
      <c r="F134" s="346"/>
    </row>
    <row r="135" spans="1:8">
      <c r="A135" s="346"/>
      <c r="B135" s="346"/>
      <c r="C135" s="346"/>
      <c r="D135" s="346"/>
      <c r="E135" s="346"/>
      <c r="F135" s="346"/>
    </row>
    <row r="136" spans="1:8">
      <c r="A136" s="346"/>
      <c r="B136" s="346"/>
      <c r="C136" s="346"/>
      <c r="D136" s="346"/>
      <c r="E136" s="346"/>
      <c r="F136" s="346"/>
    </row>
    <row r="137" spans="1:8">
      <c r="A137" s="346"/>
      <c r="B137" s="346"/>
      <c r="C137" s="346"/>
      <c r="D137" s="346"/>
      <c r="E137" s="346"/>
      <c r="F137" s="346"/>
    </row>
    <row r="138" spans="1:8">
      <c r="A138" s="346" t="s">
        <v>3941</v>
      </c>
      <c r="B138" s="346"/>
      <c r="C138" s="346"/>
      <c r="D138" s="346"/>
      <c r="E138" s="346"/>
      <c r="F138" s="346"/>
    </row>
    <row r="139" spans="1:8" ht="13.5" thickBot="1">
      <c r="A139" s="346"/>
      <c r="B139" s="346"/>
      <c r="C139" s="346"/>
      <c r="D139" s="346"/>
      <c r="E139" s="346"/>
      <c r="F139" s="346"/>
    </row>
    <row r="140" spans="1:8">
      <c r="A140" s="1333"/>
      <c r="B140" s="1334" t="s">
        <v>3898</v>
      </c>
      <c r="C140" s="1334"/>
      <c r="D140" s="1334"/>
      <c r="E140" s="1334"/>
      <c r="F140" s="1334"/>
      <c r="G140" s="1334"/>
      <c r="H140" s="1335"/>
    </row>
    <row r="141" spans="1:8">
      <c r="A141" s="1336"/>
      <c r="B141" s="175"/>
      <c r="C141" s="175"/>
      <c r="D141" s="175"/>
      <c r="E141" s="175"/>
      <c r="F141" s="175"/>
      <c r="G141" s="175"/>
      <c r="H141" s="1337"/>
    </row>
    <row r="142" spans="1:8">
      <c r="A142" s="1336"/>
      <c r="B142" s="175"/>
      <c r="C142" s="175"/>
      <c r="D142" s="175"/>
      <c r="E142" s="175"/>
      <c r="F142" s="175"/>
      <c r="G142" s="175"/>
      <c r="H142" s="1337"/>
    </row>
    <row r="143" spans="1:8">
      <c r="A143" s="1336"/>
      <c r="B143" s="175"/>
      <c r="C143" s="175"/>
      <c r="D143" s="175"/>
      <c r="E143" s="175"/>
      <c r="F143" s="175"/>
      <c r="G143" s="175"/>
      <c r="H143" s="1337"/>
    </row>
    <row r="144" spans="1:8">
      <c r="A144" s="1336" t="s">
        <v>3899</v>
      </c>
      <c r="B144" s="175"/>
      <c r="C144" s="175"/>
      <c r="D144" s="175"/>
      <c r="E144" s="175"/>
      <c r="F144" s="175"/>
      <c r="G144" s="175" t="s">
        <v>3900</v>
      </c>
      <c r="H144" s="1337"/>
    </row>
    <row r="145" spans="1:8">
      <c r="A145" s="1336" t="s">
        <v>3901</v>
      </c>
      <c r="B145" s="175"/>
      <c r="C145" s="175"/>
      <c r="D145" s="175"/>
      <c r="E145" s="175"/>
      <c r="F145" s="175"/>
      <c r="G145" s="175" t="s">
        <v>3902</v>
      </c>
      <c r="H145" s="1337"/>
    </row>
    <row r="146" spans="1:8">
      <c r="A146" s="1336"/>
      <c r="B146" s="175"/>
      <c r="C146" s="175"/>
      <c r="D146" s="175"/>
      <c r="E146" s="175"/>
      <c r="F146" s="175"/>
      <c r="G146" s="175" t="s">
        <v>3903</v>
      </c>
      <c r="H146" s="1337"/>
    </row>
    <row r="147" spans="1:8">
      <c r="A147" s="1336" t="s">
        <v>3904</v>
      </c>
      <c r="B147" s="175"/>
      <c r="C147" s="175"/>
      <c r="D147" s="175"/>
      <c r="E147" s="175"/>
      <c r="F147" s="175"/>
      <c r="G147" s="175" t="s">
        <v>3905</v>
      </c>
      <c r="H147" s="1337"/>
    </row>
    <row r="148" spans="1:8">
      <c r="A148" s="1336"/>
      <c r="B148" s="175"/>
      <c r="C148" s="175"/>
      <c r="D148" s="175"/>
      <c r="E148" s="175"/>
      <c r="F148" s="175"/>
      <c r="G148" s="175"/>
      <c r="H148" s="1337"/>
    </row>
    <row r="149" spans="1:8">
      <c r="A149" s="1336"/>
      <c r="B149" s="175"/>
      <c r="C149" s="175"/>
      <c r="D149" s="175"/>
      <c r="E149" s="175"/>
      <c r="F149" s="175"/>
      <c r="G149" s="175"/>
      <c r="H149" s="1337"/>
    </row>
    <row r="150" spans="1:8">
      <c r="A150" s="1336"/>
      <c r="B150" s="175"/>
      <c r="C150" s="175"/>
      <c r="D150" s="175"/>
      <c r="E150" s="175"/>
      <c r="F150" s="175"/>
      <c r="G150" s="175"/>
      <c r="H150" s="1337"/>
    </row>
    <row r="151" spans="1:8">
      <c r="A151" s="1336"/>
      <c r="B151" s="175"/>
      <c r="C151" s="175"/>
      <c r="D151" s="175"/>
      <c r="E151" s="175"/>
      <c r="F151" s="175"/>
      <c r="G151" s="175"/>
      <c r="H151" s="1337"/>
    </row>
    <row r="152" spans="1:8">
      <c r="A152" s="1336" t="s">
        <v>3906</v>
      </c>
      <c r="B152" s="175"/>
      <c r="C152" s="175"/>
      <c r="D152" s="175"/>
      <c r="E152" s="175"/>
      <c r="F152" s="175"/>
      <c r="G152" s="1343">
        <f ca="1">TODAY()</f>
        <v>43396</v>
      </c>
      <c r="H152" s="1337"/>
    </row>
    <row r="153" spans="1:8">
      <c r="A153" s="1336"/>
      <c r="B153" s="175"/>
      <c r="C153" s="175"/>
      <c r="D153" s="175"/>
      <c r="E153" s="175"/>
      <c r="F153" s="175"/>
      <c r="G153" s="175"/>
      <c r="H153" s="1337"/>
    </row>
    <row r="154" spans="1:8">
      <c r="A154" s="1336" t="s">
        <v>3907</v>
      </c>
      <c r="B154" s="175"/>
      <c r="C154" s="175"/>
      <c r="D154" s="175"/>
      <c r="E154" s="175"/>
      <c r="F154" s="175"/>
      <c r="G154" s="175"/>
      <c r="H154" s="1337"/>
    </row>
    <row r="155" spans="1:8">
      <c r="A155" s="1336"/>
      <c r="B155" s="175"/>
      <c r="C155" s="175"/>
      <c r="D155" s="175"/>
      <c r="E155" s="175"/>
      <c r="F155" s="175"/>
      <c r="G155" s="175"/>
      <c r="H155" s="1337"/>
    </row>
    <row r="156" spans="1:8">
      <c r="A156" s="1338" t="s">
        <v>3908</v>
      </c>
      <c r="B156" s="175" t="s">
        <v>3909</v>
      </c>
      <c r="C156" s="857" t="s">
        <v>3910</v>
      </c>
      <c r="D156" s="339" t="s">
        <v>3911</v>
      </c>
      <c r="E156" s="339" t="s">
        <v>3912</v>
      </c>
      <c r="F156" s="339" t="s">
        <v>3891</v>
      </c>
      <c r="G156" s="339" t="s">
        <v>3913</v>
      </c>
      <c r="H156" s="1337"/>
    </row>
    <row r="157" spans="1:8">
      <c r="A157" s="1336"/>
      <c r="B157" s="175"/>
      <c r="C157" s="175"/>
      <c r="D157" s="175"/>
      <c r="E157" s="175"/>
      <c r="F157" s="175"/>
      <c r="G157" s="175"/>
      <c r="H157" s="1337"/>
    </row>
    <row r="158" spans="1:8">
      <c r="A158" s="1338">
        <v>1</v>
      </c>
      <c r="B158" s="1358" t="s">
        <v>3914</v>
      </c>
      <c r="C158" s="857">
        <v>1.5</v>
      </c>
      <c r="D158" s="1357">
        <v>3000</v>
      </c>
      <c r="E158" s="175"/>
      <c r="F158" s="175"/>
      <c r="G158" s="175"/>
      <c r="H158" s="1337"/>
    </row>
    <row r="159" spans="1:8">
      <c r="A159" s="1338">
        <v>2</v>
      </c>
      <c r="B159" s="1358" t="s">
        <v>3915</v>
      </c>
      <c r="C159" s="857">
        <v>1</v>
      </c>
      <c r="D159" s="1357">
        <v>1000</v>
      </c>
      <c r="E159" s="175"/>
      <c r="F159" s="175"/>
      <c r="G159" s="175"/>
      <c r="H159" s="1337"/>
    </row>
    <row r="160" spans="1:8">
      <c r="A160" s="1338">
        <v>3</v>
      </c>
      <c r="B160" s="1358" t="s">
        <v>3916</v>
      </c>
      <c r="C160" s="857">
        <v>1</v>
      </c>
      <c r="D160" s="1357">
        <v>1300</v>
      </c>
      <c r="E160" s="175"/>
      <c r="F160" s="175"/>
      <c r="G160" s="175"/>
      <c r="H160" s="1337"/>
    </row>
    <row r="161" spans="1:8">
      <c r="A161" s="1338">
        <v>4</v>
      </c>
      <c r="B161" s="1358" t="s">
        <v>3917</v>
      </c>
      <c r="C161" s="857">
        <v>2.5</v>
      </c>
      <c r="D161" s="1357">
        <v>2000</v>
      </c>
      <c r="E161" s="175"/>
      <c r="F161" s="175"/>
      <c r="G161" s="175"/>
      <c r="H161" s="1337"/>
    </row>
    <row r="162" spans="1:8">
      <c r="A162" s="1338">
        <v>5</v>
      </c>
      <c r="B162" s="1358" t="s">
        <v>3918</v>
      </c>
      <c r="C162" s="857">
        <v>0.5</v>
      </c>
      <c r="D162" s="1357">
        <v>2000</v>
      </c>
      <c r="E162" s="175"/>
      <c r="F162" s="175"/>
      <c r="G162" s="175"/>
      <c r="H162" s="1337"/>
    </row>
    <row r="163" spans="1:8">
      <c r="A163" s="1338">
        <v>6</v>
      </c>
      <c r="B163" s="1358" t="s">
        <v>3919</v>
      </c>
      <c r="C163" s="857">
        <v>4</v>
      </c>
      <c r="D163" s="1357">
        <v>200</v>
      </c>
      <c r="E163" s="175"/>
      <c r="F163" s="175"/>
      <c r="G163" s="175"/>
      <c r="H163" s="1337"/>
    </row>
    <row r="164" spans="1:8">
      <c r="A164" s="1338">
        <v>7</v>
      </c>
      <c r="B164" s="1358" t="s">
        <v>3920</v>
      </c>
      <c r="C164" s="857">
        <v>2</v>
      </c>
      <c r="D164" s="1357">
        <v>200</v>
      </c>
      <c r="E164" s="175"/>
      <c r="F164" s="175"/>
      <c r="G164" s="175"/>
      <c r="H164" s="1337"/>
    </row>
    <row r="165" spans="1:8">
      <c r="A165" s="1338">
        <v>8</v>
      </c>
      <c r="B165" s="1358" t="s">
        <v>3921</v>
      </c>
      <c r="C165" s="857">
        <v>2</v>
      </c>
      <c r="D165" s="1357">
        <v>800</v>
      </c>
      <c r="E165" s="175"/>
      <c r="F165" s="175"/>
      <c r="G165" s="175"/>
      <c r="H165" s="1337"/>
    </row>
    <row r="166" spans="1:8">
      <c r="A166" s="1338">
        <v>9</v>
      </c>
      <c r="B166" s="1358" t="s">
        <v>3922</v>
      </c>
      <c r="C166" s="857">
        <v>3</v>
      </c>
      <c r="D166" s="1357">
        <v>800</v>
      </c>
      <c r="E166" s="175"/>
      <c r="F166" s="175"/>
      <c r="G166" s="175"/>
      <c r="H166" s="1337"/>
    </row>
    <row r="167" spans="1:8">
      <c r="A167" s="1338">
        <v>10</v>
      </c>
      <c r="B167" s="1358" t="s">
        <v>3923</v>
      </c>
      <c r="C167" s="857">
        <v>1</v>
      </c>
      <c r="D167" s="1357">
        <v>4800</v>
      </c>
      <c r="E167" s="175"/>
      <c r="F167" s="175"/>
      <c r="G167" s="175"/>
      <c r="H167" s="1337"/>
    </row>
    <row r="168" spans="1:8">
      <c r="A168" s="1338">
        <v>11</v>
      </c>
      <c r="B168" s="1358" t="s">
        <v>3924</v>
      </c>
      <c r="C168" s="857">
        <v>18</v>
      </c>
      <c r="D168" s="1357">
        <v>250</v>
      </c>
      <c r="E168" s="175"/>
      <c r="F168" s="175"/>
      <c r="G168" s="175"/>
      <c r="H168" s="1337"/>
    </row>
    <row r="169" spans="1:8">
      <c r="A169" s="1338">
        <v>12</v>
      </c>
      <c r="B169" s="1358" t="s">
        <v>3925</v>
      </c>
      <c r="C169" s="857">
        <v>2</v>
      </c>
      <c r="D169" s="1357">
        <v>667.5</v>
      </c>
      <c r="E169" s="175"/>
      <c r="F169" s="175"/>
      <c r="G169" s="175"/>
      <c r="H169" s="1337"/>
    </row>
    <row r="170" spans="1:8">
      <c r="A170" s="1338">
        <v>13</v>
      </c>
      <c r="B170" s="1358" t="s">
        <v>3926</v>
      </c>
      <c r="C170" s="857">
        <v>45</v>
      </c>
      <c r="D170" s="1357">
        <v>11</v>
      </c>
      <c r="E170" s="175"/>
      <c r="F170" s="175"/>
      <c r="G170" s="175"/>
      <c r="H170" s="1337"/>
    </row>
    <row r="171" spans="1:8">
      <c r="A171" s="1338">
        <v>14</v>
      </c>
      <c r="B171" s="1358" t="s">
        <v>3927</v>
      </c>
      <c r="C171" s="857">
        <v>45</v>
      </c>
      <c r="D171" s="1357">
        <v>7</v>
      </c>
      <c r="E171" s="175"/>
      <c r="F171" s="175"/>
      <c r="G171" s="175"/>
      <c r="H171" s="1337"/>
    </row>
    <row r="172" spans="1:8">
      <c r="A172" s="1338">
        <v>15</v>
      </c>
      <c r="B172" s="1358" t="s">
        <v>3928</v>
      </c>
      <c r="C172" s="857">
        <v>19</v>
      </c>
      <c r="D172" s="1357">
        <v>4</v>
      </c>
      <c r="E172" s="175"/>
      <c r="F172" s="175"/>
      <c r="G172" s="175"/>
      <c r="H172" s="1337"/>
    </row>
    <row r="173" spans="1:8">
      <c r="A173" s="1338">
        <v>16</v>
      </c>
      <c r="B173" s="1358" t="s">
        <v>3929</v>
      </c>
      <c r="C173" s="857">
        <v>1</v>
      </c>
      <c r="D173" s="1357">
        <v>265</v>
      </c>
      <c r="E173" s="175"/>
      <c r="F173" s="175"/>
      <c r="G173" s="175"/>
      <c r="H173" s="1337"/>
    </row>
    <row r="174" spans="1:8">
      <c r="A174" s="1338">
        <v>17</v>
      </c>
      <c r="B174" s="1358" t="s">
        <v>3930</v>
      </c>
      <c r="C174" s="857">
        <v>5</v>
      </c>
      <c r="D174" s="1357">
        <v>80</v>
      </c>
      <c r="E174" s="175"/>
      <c r="F174" s="175"/>
      <c r="G174" s="175"/>
      <c r="H174" s="1337"/>
    </row>
    <row r="175" spans="1:8">
      <c r="A175" s="1338">
        <v>18</v>
      </c>
      <c r="B175" s="1358" t="s">
        <v>3931</v>
      </c>
      <c r="C175" s="857">
        <v>1</v>
      </c>
      <c r="D175" s="1357">
        <v>1492</v>
      </c>
      <c r="E175" s="175"/>
      <c r="F175" s="175"/>
      <c r="G175" s="175"/>
      <c r="H175" s="1337"/>
    </row>
    <row r="176" spans="1:8">
      <c r="A176" s="1338">
        <v>19</v>
      </c>
      <c r="B176" s="1358" t="s">
        <v>3932</v>
      </c>
      <c r="C176" s="857">
        <v>1</v>
      </c>
      <c r="D176" s="1357">
        <v>470</v>
      </c>
      <c r="E176" s="175"/>
      <c r="F176" s="175"/>
      <c r="G176" s="175"/>
      <c r="H176" s="1337"/>
    </row>
    <row r="177" spans="1:8">
      <c r="A177" s="1338">
        <v>20</v>
      </c>
      <c r="B177" s="1358" t="s">
        <v>3933</v>
      </c>
      <c r="C177" s="857">
        <v>1</v>
      </c>
      <c r="D177" s="1357">
        <v>35</v>
      </c>
      <c r="E177" s="175"/>
      <c r="F177" s="175"/>
      <c r="G177" s="175"/>
      <c r="H177" s="1337"/>
    </row>
    <row r="178" spans="1:8">
      <c r="A178" s="1336"/>
      <c r="B178" s="175"/>
      <c r="C178" s="175"/>
      <c r="D178" s="175"/>
      <c r="E178" s="175"/>
      <c r="F178" s="175"/>
      <c r="G178" s="175"/>
      <c r="H178" s="1337"/>
    </row>
    <row r="179" spans="1:8">
      <c r="A179" s="1336"/>
      <c r="B179" s="175" t="s">
        <v>3934</v>
      </c>
      <c r="C179" s="175"/>
      <c r="D179" s="175"/>
      <c r="E179" s="175"/>
      <c r="F179" s="175"/>
      <c r="G179" s="175"/>
      <c r="H179" s="1337"/>
    </row>
    <row r="180" spans="1:8">
      <c r="A180" s="1336"/>
      <c r="B180" s="175"/>
      <c r="C180" s="175"/>
      <c r="D180" s="175"/>
      <c r="E180" s="175"/>
      <c r="F180" s="175"/>
      <c r="G180" s="175"/>
      <c r="H180" s="1337"/>
    </row>
    <row r="181" spans="1:8">
      <c r="A181" s="1336"/>
      <c r="B181" s="175"/>
      <c r="C181" s="175"/>
      <c r="D181" s="175"/>
      <c r="E181" s="175"/>
      <c r="F181" s="175" t="s">
        <v>3940</v>
      </c>
      <c r="G181" s="175"/>
      <c r="H181" s="1337"/>
    </row>
    <row r="182" spans="1:8">
      <c r="A182" s="1338"/>
      <c r="B182" s="857"/>
      <c r="C182" s="857"/>
      <c r="D182" s="857"/>
      <c r="E182" s="857"/>
      <c r="F182" s="857"/>
      <c r="G182" s="857"/>
      <c r="H182" s="1339"/>
    </row>
    <row r="183" spans="1:8">
      <c r="A183" s="1338"/>
      <c r="B183" s="857"/>
      <c r="C183" s="857"/>
      <c r="D183" s="857"/>
      <c r="E183" s="857"/>
      <c r="F183" s="857"/>
      <c r="G183" s="857"/>
      <c r="H183" s="1339"/>
    </row>
    <row r="184" spans="1:8" ht="13.5" thickBot="1">
      <c r="A184" s="1340"/>
      <c r="B184" s="1341"/>
      <c r="C184" s="1341"/>
      <c r="D184" s="1341"/>
      <c r="E184" s="1341"/>
      <c r="F184" s="1341"/>
      <c r="G184" s="1341"/>
      <c r="H184" s="1342"/>
    </row>
    <row r="185" spans="1:8">
      <c r="A185" s="346"/>
      <c r="B185" s="346"/>
      <c r="C185" s="346"/>
      <c r="D185" s="346"/>
      <c r="E185" s="346"/>
      <c r="F185" s="346"/>
    </row>
    <row r="186" spans="1:8">
      <c r="A186" s="346"/>
      <c r="B186" s="346"/>
      <c r="C186" s="346"/>
      <c r="D186" s="346"/>
      <c r="E186" s="346"/>
      <c r="F186" s="346"/>
    </row>
    <row r="187" spans="1:8">
      <c r="A187" s="346"/>
      <c r="B187" s="346"/>
      <c r="C187" s="346"/>
      <c r="D187" s="346"/>
      <c r="E187" s="346"/>
      <c r="F187" s="346"/>
    </row>
    <row r="188" spans="1:8">
      <c r="A188" s="346"/>
      <c r="B188" s="346"/>
      <c r="C188" s="346"/>
      <c r="D188" s="346"/>
      <c r="E188" s="346"/>
      <c r="F188" s="346"/>
    </row>
    <row r="189" spans="1:8">
      <c r="A189" s="346"/>
      <c r="B189" s="346"/>
      <c r="C189" s="346"/>
      <c r="D189" s="346"/>
      <c r="E189" s="346"/>
      <c r="F189" s="346"/>
    </row>
    <row r="190" spans="1:8">
      <c r="A190" s="346"/>
      <c r="B190" s="346"/>
      <c r="C190" s="346"/>
      <c r="D190" s="346"/>
      <c r="E190" s="346"/>
      <c r="F190" s="346"/>
    </row>
    <row r="191" spans="1:8">
      <c r="A191" s="346"/>
      <c r="B191" s="346"/>
      <c r="C191" s="346"/>
      <c r="D191" s="346"/>
      <c r="E191" s="346"/>
      <c r="F191" s="346"/>
    </row>
    <row r="192" spans="1:8">
      <c r="A192" s="346"/>
      <c r="B192" s="346"/>
      <c r="C192" s="346"/>
      <c r="D192" s="346"/>
      <c r="E192" s="346"/>
      <c r="F192" s="346"/>
    </row>
    <row r="193" spans="1:10">
      <c r="A193" s="346"/>
      <c r="B193" s="346"/>
      <c r="C193" s="346"/>
      <c r="D193" s="346"/>
      <c r="E193" s="346"/>
      <c r="F193" s="346"/>
    </row>
    <row r="194" spans="1:10">
      <c r="A194" s="1076" t="s">
        <v>1801</v>
      </c>
      <c r="B194" s="346"/>
      <c r="C194" s="346"/>
      <c r="D194" s="346"/>
      <c r="E194" s="346"/>
      <c r="F194" s="346"/>
    </row>
    <row r="195" spans="1:10">
      <c r="A195" s="346"/>
      <c r="B195" s="346"/>
      <c r="C195" s="346"/>
      <c r="D195" s="346"/>
      <c r="E195" s="346"/>
      <c r="F195" s="346"/>
    </row>
    <row r="196" spans="1:10">
      <c r="A196" s="346"/>
      <c r="B196" s="346"/>
      <c r="C196" s="346"/>
      <c r="D196" s="346"/>
      <c r="E196" s="346"/>
      <c r="F196" s="346"/>
    </row>
    <row r="197" spans="1:10">
      <c r="A197" s="346"/>
      <c r="B197" s="346"/>
      <c r="C197" s="346"/>
      <c r="D197" s="346"/>
      <c r="E197" s="346"/>
      <c r="F197" s="346"/>
    </row>
    <row r="198" spans="1:10">
      <c r="A198" s="1"/>
      <c r="B198" s="1"/>
      <c r="C198" s="243" t="s">
        <v>3898</v>
      </c>
      <c r="D198" s="1344">
        <v>0.19</v>
      </c>
      <c r="E198" s="1"/>
      <c r="F198" s="1"/>
      <c r="G198" s="1"/>
      <c r="H198" s="1"/>
      <c r="I198" s="1"/>
      <c r="J198" s="1"/>
    </row>
    <row r="199" spans="1:10">
      <c r="A199" s="1"/>
      <c r="B199" s="1"/>
      <c r="C199" s="1"/>
      <c r="D199" s="1"/>
      <c r="E199" s="1"/>
      <c r="F199" s="1"/>
      <c r="G199" s="1"/>
      <c r="H199" s="1"/>
      <c r="I199" s="1"/>
      <c r="J199" s="1"/>
    </row>
    <row r="200" spans="1:10" ht="13.5" thickBot="1">
      <c r="A200" s="1"/>
      <c r="B200" s="1"/>
      <c r="C200" s="1"/>
      <c r="D200" s="1"/>
      <c r="E200" s="1"/>
      <c r="F200" s="1"/>
      <c r="G200" s="1"/>
      <c r="H200" s="1"/>
      <c r="I200" s="1"/>
      <c r="J200" s="1"/>
    </row>
    <row r="201" spans="1:10">
      <c r="A201" s="455"/>
      <c r="B201" s="717"/>
      <c r="C201" s="717"/>
      <c r="D201" s="717"/>
      <c r="E201" s="717"/>
      <c r="F201" s="717"/>
      <c r="G201" s="717"/>
      <c r="H201" s="717"/>
      <c r="I201" s="718"/>
      <c r="J201" s="1"/>
    </row>
    <row r="202" spans="1:10">
      <c r="A202" s="457"/>
      <c r="B202" s="8" t="s">
        <v>3899</v>
      </c>
      <c r="C202" s="8"/>
      <c r="D202" s="8"/>
      <c r="E202" s="8"/>
      <c r="F202" s="8"/>
      <c r="G202" s="8"/>
      <c r="H202" s="8" t="s">
        <v>3900</v>
      </c>
      <c r="I202" s="719"/>
      <c r="J202" s="1"/>
    </row>
    <row r="203" spans="1:10">
      <c r="A203" s="457"/>
      <c r="B203" s="8" t="s">
        <v>3901</v>
      </c>
      <c r="C203" s="8"/>
      <c r="D203" s="8"/>
      <c r="E203" s="8"/>
      <c r="F203" s="8"/>
      <c r="G203" s="8"/>
      <c r="H203" s="8" t="s">
        <v>3902</v>
      </c>
      <c r="I203" s="719"/>
      <c r="J203" s="1"/>
    </row>
    <row r="204" spans="1:10">
      <c r="A204" s="457"/>
      <c r="B204" s="8"/>
      <c r="C204" s="8"/>
      <c r="D204" s="8"/>
      <c r="E204" s="8"/>
      <c r="F204" s="8"/>
      <c r="G204" s="8"/>
      <c r="H204" s="8" t="s">
        <v>3903</v>
      </c>
      <c r="I204" s="719"/>
      <c r="J204" s="1"/>
    </row>
    <row r="205" spans="1:10">
      <c r="A205" s="457"/>
      <c r="B205" s="8" t="s">
        <v>3904</v>
      </c>
      <c r="C205" s="8"/>
      <c r="D205" s="8"/>
      <c r="E205" s="8"/>
      <c r="F205" s="8"/>
      <c r="G205" s="8"/>
      <c r="H205" s="8" t="s">
        <v>3905</v>
      </c>
      <c r="I205" s="719"/>
      <c r="J205" s="1"/>
    </row>
    <row r="206" spans="1:10">
      <c r="A206" s="457"/>
      <c r="B206" s="8"/>
      <c r="C206" s="8"/>
      <c r="D206" s="8"/>
      <c r="E206" s="8"/>
      <c r="F206" s="8"/>
      <c r="G206" s="8"/>
      <c r="H206" s="8"/>
      <c r="I206" s="719"/>
      <c r="J206" s="1"/>
    </row>
    <row r="207" spans="1:10">
      <c r="A207" s="457"/>
      <c r="B207" s="8"/>
      <c r="C207" s="8"/>
      <c r="D207" s="8"/>
      <c r="E207" s="8"/>
      <c r="F207" s="8"/>
      <c r="G207" s="8"/>
      <c r="H207" s="8"/>
      <c r="I207" s="719"/>
      <c r="J207" s="1"/>
    </row>
    <row r="208" spans="1:10">
      <c r="A208" s="457"/>
      <c r="B208" s="8"/>
      <c r="C208" s="8"/>
      <c r="D208" s="8"/>
      <c r="E208" s="8"/>
      <c r="F208" s="8"/>
      <c r="G208" s="8"/>
      <c r="H208" s="8"/>
      <c r="I208" s="719"/>
      <c r="J208" s="1"/>
    </row>
    <row r="209" spans="1:11">
      <c r="A209" s="457"/>
      <c r="B209" s="8"/>
      <c r="C209" s="8"/>
      <c r="D209" s="8"/>
      <c r="E209" s="8"/>
      <c r="F209" s="8"/>
      <c r="G209" s="8"/>
      <c r="H209" s="8"/>
      <c r="I209" s="719"/>
      <c r="J209" s="1"/>
    </row>
    <row r="210" spans="1:11" ht="15.75">
      <c r="A210" s="457"/>
      <c r="B210" s="1345" t="s">
        <v>3906</v>
      </c>
      <c r="C210" s="14"/>
      <c r="D210" s="14"/>
      <c r="E210" s="14"/>
      <c r="F210" s="14"/>
      <c r="G210" s="14"/>
      <c r="H210" s="1371">
        <f ca="1">TODAY()</f>
        <v>43396</v>
      </c>
      <c r="I210" s="719"/>
      <c r="J210" s="1"/>
    </row>
    <row r="211" spans="1:11">
      <c r="A211" s="457"/>
      <c r="B211" s="8"/>
      <c r="C211" s="8"/>
      <c r="D211" s="8"/>
      <c r="E211" s="8"/>
      <c r="F211" s="8"/>
      <c r="G211" s="8"/>
      <c r="H211" s="8"/>
      <c r="I211" s="719"/>
      <c r="J211" s="1"/>
    </row>
    <row r="212" spans="1:11">
      <c r="A212" s="457"/>
      <c r="B212" s="8" t="s">
        <v>3907</v>
      </c>
      <c r="C212" s="8"/>
      <c r="D212" s="8"/>
      <c r="E212" s="8"/>
      <c r="F212" s="8"/>
      <c r="G212" s="8"/>
      <c r="H212" s="8"/>
      <c r="I212" s="719"/>
      <c r="J212" s="1"/>
    </row>
    <row r="213" spans="1:11">
      <c r="A213" s="457"/>
      <c r="B213" s="8"/>
      <c r="C213" s="8"/>
      <c r="D213" s="8"/>
      <c r="E213" s="8"/>
      <c r="F213" s="1"/>
      <c r="G213" s="8"/>
      <c r="H213" s="8"/>
      <c r="I213" s="719"/>
      <c r="J213" s="1"/>
    </row>
    <row r="214" spans="1:11">
      <c r="A214" s="722"/>
      <c r="B214" s="225" t="s">
        <v>3908</v>
      </c>
      <c r="C214" s="225" t="s">
        <v>3909</v>
      </c>
      <c r="D214" s="225" t="s">
        <v>3910</v>
      </c>
      <c r="E214" s="225" t="s">
        <v>3911</v>
      </c>
      <c r="F214" s="225" t="s">
        <v>3912</v>
      </c>
      <c r="G214" s="225" t="s">
        <v>3891</v>
      </c>
      <c r="H214" s="225" t="s">
        <v>3913</v>
      </c>
      <c r="I214" s="1346"/>
      <c r="J214" s="26"/>
    </row>
    <row r="215" spans="1:11">
      <c r="A215" s="722"/>
      <c r="B215" s="169"/>
      <c r="C215" s="169"/>
      <c r="D215" s="169"/>
      <c r="E215" s="169"/>
      <c r="F215" s="169"/>
      <c r="G215" s="169"/>
      <c r="H215" s="169"/>
      <c r="I215" s="1346"/>
      <c r="J215" s="443"/>
    </row>
    <row r="216" spans="1:11" ht="20.100000000000001" customHeight="1">
      <c r="A216" s="169"/>
      <c r="B216" s="1322">
        <v>1</v>
      </c>
      <c r="C216" s="1362" t="str">
        <f>VLOOKUP($K$216,Leistungen,2,0)</f>
        <v>Nutzungshonorar Anzeigen bundesweit 1 Jahr</v>
      </c>
      <c r="D216" s="1327">
        <v>1.5</v>
      </c>
      <c r="E216" s="1363">
        <f>VLOOKUP($K$216,Leistungen,3,0)</f>
        <v>1000</v>
      </c>
      <c r="F216" s="1365">
        <f t="shared" ref="F216:F235" si="7">D216*E216</f>
        <v>1500</v>
      </c>
      <c r="G216" s="1365">
        <f>F216*D198</f>
        <v>285</v>
      </c>
      <c r="H216" s="1366">
        <f t="shared" ref="H216:H235" si="8">F216+G216</f>
        <v>1785</v>
      </c>
      <c r="I216" s="719"/>
      <c r="J216" s="465"/>
      <c r="K216" s="346">
        <v>3</v>
      </c>
    </row>
    <row r="217" spans="1:11" ht="20.100000000000001" customHeight="1">
      <c r="A217" s="169"/>
      <c r="B217" s="1322">
        <f t="shared" ref="B217:B235" si="9">B216+1</f>
        <v>2</v>
      </c>
      <c r="C217" s="1362" t="str">
        <f>VLOOKUP($K$217,Leistungen,2,0)</f>
        <v>Casting</v>
      </c>
      <c r="D217" s="1327">
        <v>1</v>
      </c>
      <c r="E217" s="1363">
        <f>VLOOKUP($K$217,Leistungen,3,0)</f>
        <v>2000</v>
      </c>
      <c r="F217" s="1365">
        <f t="shared" si="7"/>
        <v>2000</v>
      </c>
      <c r="G217" s="1365">
        <f>F217*D198</f>
        <v>380</v>
      </c>
      <c r="H217" s="1366">
        <f t="shared" si="8"/>
        <v>2380</v>
      </c>
      <c r="I217" s="719"/>
      <c r="J217" s="465"/>
      <c r="K217" s="346">
        <v>6</v>
      </c>
    </row>
    <row r="218" spans="1:11" ht="20.100000000000001" customHeight="1">
      <c r="A218" s="169"/>
      <c r="B218" s="1322">
        <f t="shared" si="9"/>
        <v>3</v>
      </c>
      <c r="C218" s="1362" t="str">
        <f>VLOOKUP($K$218,Leistungen,2,0)</f>
        <v>-</v>
      </c>
      <c r="D218" s="1327">
        <v>1</v>
      </c>
      <c r="E218" s="1363">
        <f>VLOOKUP($K$218,Leistungen,3,0)</f>
        <v>0</v>
      </c>
      <c r="F218" s="1365">
        <f t="shared" si="7"/>
        <v>0</v>
      </c>
      <c r="G218" s="1365">
        <f>F218*D198</f>
        <v>0</v>
      </c>
      <c r="H218" s="1366">
        <f t="shared" si="8"/>
        <v>0</v>
      </c>
      <c r="I218" s="719"/>
      <c r="J218" s="465"/>
      <c r="K218" s="346">
        <v>1</v>
      </c>
    </row>
    <row r="219" spans="1:11" ht="20.100000000000001" customHeight="1">
      <c r="A219" s="169"/>
      <c r="B219" s="1322">
        <f t="shared" si="9"/>
        <v>4</v>
      </c>
      <c r="C219" s="1364" t="s">
        <v>3917</v>
      </c>
      <c r="D219" s="1327">
        <v>2.5</v>
      </c>
      <c r="E219" s="1365">
        <v>2000</v>
      </c>
      <c r="F219" s="1365">
        <f t="shared" si="7"/>
        <v>5000</v>
      </c>
      <c r="G219" s="1365">
        <f>F219*D198</f>
        <v>950</v>
      </c>
      <c r="H219" s="1366">
        <f t="shared" si="8"/>
        <v>5950</v>
      </c>
      <c r="I219" s="719"/>
      <c r="J219" s="465"/>
    </row>
    <row r="220" spans="1:11" ht="20.100000000000001" customHeight="1">
      <c r="A220" s="169"/>
      <c r="B220" s="1322">
        <f t="shared" si="9"/>
        <v>5</v>
      </c>
      <c r="C220" s="1364" t="s">
        <v>3918</v>
      </c>
      <c r="D220" s="1327">
        <v>0.5</v>
      </c>
      <c r="E220" s="1365">
        <v>2000</v>
      </c>
      <c r="F220" s="1365">
        <f t="shared" si="7"/>
        <v>1000</v>
      </c>
      <c r="G220" s="1365">
        <f>F220*D198</f>
        <v>190</v>
      </c>
      <c r="H220" s="1366">
        <f t="shared" si="8"/>
        <v>1190</v>
      </c>
      <c r="I220" s="719"/>
      <c r="J220" s="1"/>
    </row>
    <row r="221" spans="1:11" ht="20.100000000000001" customHeight="1">
      <c r="A221" s="169"/>
      <c r="B221" s="1322">
        <f t="shared" si="9"/>
        <v>6</v>
      </c>
      <c r="C221" s="1364" t="s">
        <v>3919</v>
      </c>
      <c r="D221" s="1327">
        <v>4</v>
      </c>
      <c r="E221" s="1365">
        <v>200</v>
      </c>
      <c r="F221" s="1365">
        <f t="shared" si="7"/>
        <v>800</v>
      </c>
      <c r="G221" s="1365">
        <f>F221*D198</f>
        <v>152</v>
      </c>
      <c r="H221" s="1366">
        <f t="shared" si="8"/>
        <v>952</v>
      </c>
      <c r="I221" s="719"/>
      <c r="J221" s="1"/>
    </row>
    <row r="222" spans="1:11" ht="20.100000000000001" customHeight="1">
      <c r="A222" s="169"/>
      <c r="B222" s="1322">
        <f t="shared" si="9"/>
        <v>7</v>
      </c>
      <c r="C222" s="1364" t="s">
        <v>3920</v>
      </c>
      <c r="D222" s="1327">
        <v>2</v>
      </c>
      <c r="E222" s="1365">
        <v>200</v>
      </c>
      <c r="F222" s="1365">
        <f t="shared" si="7"/>
        <v>400</v>
      </c>
      <c r="G222" s="1365">
        <f>F222*D198</f>
        <v>76</v>
      </c>
      <c r="H222" s="1366">
        <f t="shared" si="8"/>
        <v>476</v>
      </c>
      <c r="I222" s="719"/>
      <c r="J222" s="1"/>
    </row>
    <row r="223" spans="1:11" ht="20.100000000000001" customHeight="1">
      <c r="A223" s="169"/>
      <c r="B223" s="1322">
        <f t="shared" si="9"/>
        <v>8</v>
      </c>
      <c r="C223" s="1364" t="s">
        <v>3921</v>
      </c>
      <c r="D223" s="1327">
        <v>2</v>
      </c>
      <c r="E223" s="1365">
        <v>800</v>
      </c>
      <c r="F223" s="1365">
        <f t="shared" si="7"/>
        <v>1600</v>
      </c>
      <c r="G223" s="1365">
        <f>F223*D198</f>
        <v>304</v>
      </c>
      <c r="H223" s="1366">
        <f t="shared" si="8"/>
        <v>1904</v>
      </c>
      <c r="I223" s="719"/>
      <c r="J223" s="1"/>
    </row>
    <row r="224" spans="1:11" ht="20.100000000000001" customHeight="1">
      <c r="A224" s="169"/>
      <c r="B224" s="1322">
        <f t="shared" si="9"/>
        <v>9</v>
      </c>
      <c r="C224" s="1364" t="s">
        <v>3922</v>
      </c>
      <c r="D224" s="1327">
        <v>3</v>
      </c>
      <c r="E224" s="1365">
        <v>800</v>
      </c>
      <c r="F224" s="1365">
        <f t="shared" si="7"/>
        <v>2400</v>
      </c>
      <c r="G224" s="1365">
        <f>F224*D198</f>
        <v>456</v>
      </c>
      <c r="H224" s="1366">
        <f t="shared" si="8"/>
        <v>2856</v>
      </c>
      <c r="I224" s="719"/>
      <c r="J224" s="1"/>
    </row>
    <row r="225" spans="1:10" ht="20.100000000000001" customHeight="1">
      <c r="A225" s="169"/>
      <c r="B225" s="1322">
        <f t="shared" si="9"/>
        <v>10</v>
      </c>
      <c r="C225" s="1364" t="s">
        <v>3923</v>
      </c>
      <c r="D225" s="1327">
        <v>1</v>
      </c>
      <c r="E225" s="1365">
        <v>4800</v>
      </c>
      <c r="F225" s="1365">
        <f t="shared" si="7"/>
        <v>4800</v>
      </c>
      <c r="G225" s="1365">
        <f>F225*D198</f>
        <v>912</v>
      </c>
      <c r="H225" s="1366">
        <f t="shared" si="8"/>
        <v>5712</v>
      </c>
      <c r="I225" s="719"/>
      <c r="J225" s="1"/>
    </row>
    <row r="226" spans="1:10" ht="20.100000000000001" customHeight="1">
      <c r="A226" s="169"/>
      <c r="B226" s="1322">
        <f t="shared" si="9"/>
        <v>11</v>
      </c>
      <c r="C226" s="1364" t="s">
        <v>3924</v>
      </c>
      <c r="D226" s="1327">
        <v>18</v>
      </c>
      <c r="E226" s="1365">
        <v>250</v>
      </c>
      <c r="F226" s="1365">
        <f t="shared" si="7"/>
        <v>4500</v>
      </c>
      <c r="G226" s="1365">
        <f>F226*D198</f>
        <v>855</v>
      </c>
      <c r="H226" s="1366">
        <f t="shared" si="8"/>
        <v>5355</v>
      </c>
      <c r="I226" s="719"/>
      <c r="J226" s="1"/>
    </row>
    <row r="227" spans="1:10" ht="20.100000000000001" customHeight="1">
      <c r="A227" s="169"/>
      <c r="B227" s="1322">
        <f t="shared" si="9"/>
        <v>12</v>
      </c>
      <c r="C227" s="1364" t="s">
        <v>3925</v>
      </c>
      <c r="D227" s="1327">
        <v>2</v>
      </c>
      <c r="E227" s="1365">
        <v>667.5</v>
      </c>
      <c r="F227" s="1365">
        <f t="shared" si="7"/>
        <v>1335</v>
      </c>
      <c r="G227" s="1365">
        <f>F227*D198</f>
        <v>253.65</v>
      </c>
      <c r="H227" s="1366">
        <f t="shared" si="8"/>
        <v>1588.65</v>
      </c>
      <c r="I227" s="719"/>
      <c r="J227" s="1"/>
    </row>
    <row r="228" spans="1:10" ht="20.100000000000001" customHeight="1">
      <c r="A228" s="169"/>
      <c r="B228" s="1322">
        <f t="shared" si="9"/>
        <v>13</v>
      </c>
      <c r="C228" s="1364" t="s">
        <v>3926</v>
      </c>
      <c r="D228" s="1327">
        <v>45</v>
      </c>
      <c r="E228" s="1365">
        <v>11</v>
      </c>
      <c r="F228" s="1365">
        <f t="shared" si="7"/>
        <v>495</v>
      </c>
      <c r="G228" s="1365">
        <f>F228*D198</f>
        <v>94.05</v>
      </c>
      <c r="H228" s="1366">
        <f t="shared" si="8"/>
        <v>589.04999999999995</v>
      </c>
      <c r="I228" s="719"/>
      <c r="J228" s="1"/>
    </row>
    <row r="229" spans="1:10" ht="20.100000000000001" customHeight="1">
      <c r="A229" s="169"/>
      <c r="B229" s="1322">
        <f t="shared" si="9"/>
        <v>14</v>
      </c>
      <c r="C229" s="1364" t="s">
        <v>3927</v>
      </c>
      <c r="D229" s="1327">
        <v>45</v>
      </c>
      <c r="E229" s="1365">
        <v>7</v>
      </c>
      <c r="F229" s="1365">
        <f t="shared" si="7"/>
        <v>315</v>
      </c>
      <c r="G229" s="1365">
        <f>F229*D198</f>
        <v>59.85</v>
      </c>
      <c r="H229" s="1366">
        <f t="shared" si="8"/>
        <v>374.85</v>
      </c>
      <c r="I229" s="719"/>
      <c r="J229" s="1"/>
    </row>
    <row r="230" spans="1:10" ht="20.100000000000001" customHeight="1">
      <c r="A230" s="169"/>
      <c r="B230" s="1322">
        <f t="shared" si="9"/>
        <v>15</v>
      </c>
      <c r="C230" s="1364" t="s">
        <v>3928</v>
      </c>
      <c r="D230" s="1327">
        <v>19</v>
      </c>
      <c r="E230" s="1365">
        <v>4</v>
      </c>
      <c r="F230" s="1365">
        <f t="shared" si="7"/>
        <v>76</v>
      </c>
      <c r="G230" s="1365">
        <f>F230*D198</f>
        <v>14.44</v>
      </c>
      <c r="H230" s="1366">
        <f t="shared" si="8"/>
        <v>90.44</v>
      </c>
      <c r="I230" s="719"/>
      <c r="J230" s="1"/>
    </row>
    <row r="231" spans="1:10" ht="20.100000000000001" customHeight="1">
      <c r="A231" s="169"/>
      <c r="B231" s="1322">
        <f t="shared" si="9"/>
        <v>16</v>
      </c>
      <c r="C231" s="1364" t="s">
        <v>3929</v>
      </c>
      <c r="D231" s="1327">
        <v>1</v>
      </c>
      <c r="E231" s="1365">
        <v>265</v>
      </c>
      <c r="F231" s="1365">
        <f t="shared" si="7"/>
        <v>265</v>
      </c>
      <c r="G231" s="1365">
        <f>F231*D198</f>
        <v>50.35</v>
      </c>
      <c r="H231" s="1366">
        <f t="shared" si="8"/>
        <v>315.35000000000002</v>
      </c>
      <c r="I231" s="719"/>
      <c r="J231" s="1"/>
    </row>
    <row r="232" spans="1:10" ht="20.100000000000001" customHeight="1">
      <c r="A232" s="169"/>
      <c r="B232" s="1322">
        <f t="shared" si="9"/>
        <v>17</v>
      </c>
      <c r="C232" s="1364" t="s">
        <v>3930</v>
      </c>
      <c r="D232" s="1327">
        <v>5</v>
      </c>
      <c r="E232" s="1365">
        <v>80</v>
      </c>
      <c r="F232" s="1365">
        <f t="shared" si="7"/>
        <v>400</v>
      </c>
      <c r="G232" s="1365">
        <f>F232*D198</f>
        <v>76</v>
      </c>
      <c r="H232" s="1366">
        <f t="shared" si="8"/>
        <v>476</v>
      </c>
      <c r="I232" s="719"/>
      <c r="J232" s="1"/>
    </row>
    <row r="233" spans="1:10" ht="20.100000000000001" customHeight="1">
      <c r="A233" s="169"/>
      <c r="B233" s="1322">
        <f t="shared" si="9"/>
        <v>18</v>
      </c>
      <c r="C233" s="1364" t="s">
        <v>3931</v>
      </c>
      <c r="D233" s="1327">
        <v>1</v>
      </c>
      <c r="E233" s="1365">
        <v>1492</v>
      </c>
      <c r="F233" s="1365">
        <f t="shared" si="7"/>
        <v>1492</v>
      </c>
      <c r="G233" s="1365">
        <f>F233*D198</f>
        <v>283.48</v>
      </c>
      <c r="H233" s="1366">
        <f t="shared" si="8"/>
        <v>1775.48</v>
      </c>
      <c r="I233" s="719"/>
      <c r="J233" s="1"/>
    </row>
    <row r="234" spans="1:10" ht="20.100000000000001" customHeight="1">
      <c r="A234" s="169"/>
      <c r="B234" s="1322">
        <f t="shared" si="9"/>
        <v>19</v>
      </c>
      <c r="C234" s="1364" t="s">
        <v>3932</v>
      </c>
      <c r="D234" s="1327">
        <v>1</v>
      </c>
      <c r="E234" s="1365">
        <v>470</v>
      </c>
      <c r="F234" s="1365">
        <f t="shared" si="7"/>
        <v>470</v>
      </c>
      <c r="G234" s="1365">
        <f>F234*D198</f>
        <v>89.3</v>
      </c>
      <c r="H234" s="1366">
        <f t="shared" si="8"/>
        <v>559.29999999999995</v>
      </c>
      <c r="I234" s="719"/>
      <c r="J234" s="1"/>
    </row>
    <row r="235" spans="1:10" ht="20.100000000000001" customHeight="1">
      <c r="A235" s="169"/>
      <c r="B235" s="1322">
        <f t="shared" si="9"/>
        <v>20</v>
      </c>
      <c r="C235" s="1364" t="s">
        <v>3933</v>
      </c>
      <c r="D235" s="1327">
        <v>1</v>
      </c>
      <c r="E235" s="1365">
        <v>35</v>
      </c>
      <c r="F235" s="1365">
        <f t="shared" si="7"/>
        <v>35</v>
      </c>
      <c r="G235" s="1365">
        <f>F235*D198</f>
        <v>6.65</v>
      </c>
      <c r="H235" s="1366">
        <f t="shared" si="8"/>
        <v>41.65</v>
      </c>
      <c r="I235" s="719"/>
      <c r="J235" s="1"/>
    </row>
    <row r="236" spans="1:10">
      <c r="A236" s="169"/>
      <c r="B236" s="169"/>
      <c r="C236" s="169"/>
      <c r="D236" s="169"/>
      <c r="E236" s="1353"/>
      <c r="F236" s="1353"/>
      <c r="G236" s="1353"/>
      <c r="H236" s="1353"/>
      <c r="I236" s="719"/>
      <c r="J236" s="1"/>
    </row>
    <row r="237" spans="1:10">
      <c r="A237" s="169"/>
      <c r="B237" s="169"/>
      <c r="C237" s="234" t="s">
        <v>3934</v>
      </c>
      <c r="D237" s="169"/>
      <c r="E237" s="1353"/>
      <c r="F237" s="1353">
        <f>SUM(F216:F235)</f>
        <v>28883</v>
      </c>
      <c r="G237" s="1353">
        <f>SUM(G216:G235)</f>
        <v>5487.7699999999995</v>
      </c>
      <c r="H237" s="1353">
        <f>SUM(H216:H235)</f>
        <v>34370.770000000004</v>
      </c>
      <c r="I237" s="719"/>
      <c r="J237" s="1"/>
    </row>
    <row r="238" spans="1:10">
      <c r="A238" s="169"/>
      <c r="B238" s="169"/>
      <c r="C238" s="234"/>
      <c r="D238" s="169"/>
      <c r="E238" s="1353"/>
      <c r="F238" s="1353"/>
      <c r="G238" s="1353"/>
      <c r="H238" s="1353"/>
      <c r="I238" s="719"/>
      <c r="J238" s="1"/>
    </row>
    <row r="239" spans="1:10">
      <c r="A239" s="169"/>
      <c r="B239" s="169"/>
      <c r="C239" s="1"/>
      <c r="D239" s="76"/>
      <c r="E239" s="1355"/>
      <c r="F239" s="1355"/>
      <c r="G239" s="1356" t="s">
        <v>3935</v>
      </c>
      <c r="H239" s="1355">
        <f>H237</f>
        <v>34370.770000000004</v>
      </c>
      <c r="I239" s="719"/>
      <c r="J239" s="1"/>
    </row>
    <row r="240" spans="1:10">
      <c r="A240" s="169"/>
      <c r="B240" s="169"/>
      <c r="C240" s="234"/>
      <c r="D240" s="169"/>
      <c r="E240" s="1347"/>
      <c r="F240" s="1347"/>
      <c r="G240" s="1347"/>
      <c r="H240" s="1347"/>
      <c r="I240" s="719"/>
      <c r="J240" s="1"/>
    </row>
    <row r="241" spans="1:10">
      <c r="A241" s="169"/>
      <c r="B241" s="169"/>
      <c r="C241" s="169"/>
      <c r="D241" s="169"/>
      <c r="E241" s="169"/>
      <c r="F241" s="169"/>
      <c r="G241" s="169"/>
      <c r="H241" s="169"/>
      <c r="I241" s="719"/>
      <c r="J241" s="1"/>
    </row>
    <row r="242" spans="1:10">
      <c r="A242" s="457"/>
      <c r="B242" s="169"/>
      <c r="C242" s="234"/>
      <c r="D242" s="169"/>
      <c r="E242" s="1347"/>
      <c r="F242" s="1347"/>
      <c r="G242" s="1347"/>
      <c r="H242" s="1347"/>
      <c r="I242" s="719"/>
      <c r="J242" s="1"/>
    </row>
    <row r="243" spans="1:10">
      <c r="A243" s="457"/>
      <c r="B243" s="169"/>
      <c r="C243" s="234"/>
      <c r="D243" s="8"/>
      <c r="E243" s="1348"/>
      <c r="F243" s="1348"/>
      <c r="G243" s="1348"/>
      <c r="H243" s="1347"/>
      <c r="I243" s="719"/>
      <c r="J243" s="1"/>
    </row>
    <row r="244" spans="1:10">
      <c r="A244" s="457"/>
      <c r="B244" s="169"/>
      <c r="C244" s="234"/>
      <c r="D244" s="169"/>
      <c r="E244" s="1347"/>
      <c r="F244" s="1347"/>
      <c r="G244" s="1347"/>
      <c r="H244" s="1347"/>
      <c r="I244" s="719"/>
      <c r="J244" s="1"/>
    </row>
    <row r="245" spans="1:10">
      <c r="A245" s="457"/>
      <c r="B245" s="169"/>
      <c r="C245" s="234"/>
      <c r="D245" s="169"/>
      <c r="E245" s="1347"/>
      <c r="F245" s="1347"/>
      <c r="G245" s="1347"/>
      <c r="H245" s="1347"/>
      <c r="I245" s="719"/>
      <c r="J245" s="1"/>
    </row>
    <row r="246" spans="1:10">
      <c r="A246" s="457"/>
      <c r="B246" s="8"/>
      <c r="C246" s="234"/>
      <c r="D246" s="8"/>
      <c r="E246" s="1347"/>
      <c r="F246" s="1347"/>
      <c r="G246" s="1347"/>
      <c r="H246" s="8"/>
      <c r="I246" s="719"/>
      <c r="J246" s="1"/>
    </row>
    <row r="247" spans="1:10">
      <c r="A247" s="457"/>
      <c r="B247" s="8"/>
      <c r="C247" s="234"/>
      <c r="D247" s="8"/>
      <c r="E247" s="1347"/>
      <c r="F247" s="1347"/>
      <c r="G247" s="1347"/>
      <c r="H247" s="1349"/>
      <c r="I247" s="719"/>
      <c r="J247" s="1"/>
    </row>
    <row r="248" spans="1:10" ht="13.5" thickBot="1">
      <c r="A248" s="459"/>
      <c r="B248" s="728"/>
      <c r="C248" s="728"/>
      <c r="D248" s="728"/>
      <c r="E248" s="1350"/>
      <c r="F248" s="1350"/>
      <c r="G248" s="1350"/>
      <c r="H248" s="728"/>
      <c r="I248" s="729"/>
      <c r="J248" s="1"/>
    </row>
    <row r="249" spans="1:10">
      <c r="A249" s="1"/>
      <c r="B249" s="1"/>
      <c r="C249" s="1"/>
      <c r="D249" s="1"/>
      <c r="E249" s="1"/>
      <c r="F249" s="1"/>
      <c r="G249" s="1"/>
      <c r="H249" s="1"/>
      <c r="I249" s="1"/>
      <c r="J249" s="1"/>
    </row>
    <row r="250" spans="1:10" ht="13.5" thickBot="1">
      <c r="A250" s="1"/>
      <c r="B250" s="1"/>
      <c r="C250" s="1"/>
      <c r="D250" s="1"/>
      <c r="E250" s="1"/>
      <c r="F250" s="1"/>
      <c r="G250" s="1"/>
      <c r="H250" s="1"/>
      <c r="I250" s="1"/>
      <c r="J250" s="1"/>
    </row>
    <row r="251" spans="1:10">
      <c r="A251" s="455"/>
      <c r="B251" s="717"/>
      <c r="C251" s="717"/>
      <c r="D251" s="717"/>
      <c r="E251" s="717"/>
      <c r="F251" s="717"/>
      <c r="G251" s="717"/>
      <c r="H251" s="717"/>
      <c r="I251" s="718"/>
      <c r="J251" s="1"/>
    </row>
    <row r="252" spans="1:10">
      <c r="A252" s="457"/>
      <c r="B252" s="8" t="s">
        <v>3899</v>
      </c>
      <c r="C252" s="8"/>
      <c r="D252" s="8"/>
      <c r="E252" s="8"/>
      <c r="F252" s="8"/>
      <c r="G252" s="8"/>
      <c r="H252" s="8" t="s">
        <v>3900</v>
      </c>
      <c r="I252" s="719"/>
      <c r="J252" s="1"/>
    </row>
    <row r="253" spans="1:10">
      <c r="A253" s="457"/>
      <c r="B253" s="8" t="s">
        <v>3901</v>
      </c>
      <c r="C253" s="8"/>
      <c r="D253" s="8"/>
      <c r="E253" s="8"/>
      <c r="F253" s="8"/>
      <c r="G253" s="8"/>
      <c r="H253" s="8" t="s">
        <v>3902</v>
      </c>
      <c r="I253" s="719"/>
      <c r="J253" s="1"/>
    </row>
    <row r="254" spans="1:10">
      <c r="A254" s="457"/>
      <c r="B254" s="8"/>
      <c r="C254" s="8"/>
      <c r="D254" s="8"/>
      <c r="E254" s="8"/>
      <c r="F254" s="8"/>
      <c r="G254" s="8"/>
      <c r="H254" s="8" t="s">
        <v>3903</v>
      </c>
      <c r="I254" s="719"/>
      <c r="J254" s="1"/>
    </row>
    <row r="255" spans="1:10">
      <c r="A255" s="457"/>
      <c r="B255" s="8" t="s">
        <v>3904</v>
      </c>
      <c r="C255" s="8"/>
      <c r="D255" s="8"/>
      <c r="E255" s="8"/>
      <c r="F255" s="8"/>
      <c r="G255" s="8"/>
      <c r="H255" s="8" t="s">
        <v>3905</v>
      </c>
      <c r="I255" s="719"/>
      <c r="J255" s="1"/>
    </row>
    <row r="256" spans="1:10">
      <c r="A256" s="457"/>
      <c r="B256" s="8"/>
      <c r="C256" s="8"/>
      <c r="D256" s="8"/>
      <c r="E256" s="8"/>
      <c r="F256" s="8"/>
      <c r="G256" s="8"/>
      <c r="H256" s="8"/>
      <c r="I256" s="719"/>
      <c r="J256" s="1"/>
    </row>
    <row r="257" spans="1:10">
      <c r="A257" s="457"/>
      <c r="B257" s="8"/>
      <c r="C257" s="8"/>
      <c r="D257" s="8"/>
      <c r="E257" s="8"/>
      <c r="F257" s="8"/>
      <c r="G257" s="8"/>
      <c r="H257" s="8"/>
      <c r="I257" s="719"/>
      <c r="J257" s="1"/>
    </row>
    <row r="258" spans="1:10">
      <c r="A258" s="457"/>
      <c r="B258" s="8"/>
      <c r="C258" s="8"/>
      <c r="D258" s="8"/>
      <c r="E258" s="8"/>
      <c r="F258" s="8"/>
      <c r="G258" s="8"/>
      <c r="H258" s="8"/>
      <c r="I258" s="719"/>
      <c r="J258" s="1"/>
    </row>
    <row r="259" spans="1:10">
      <c r="A259" s="457"/>
      <c r="B259" s="8"/>
      <c r="C259" s="8"/>
      <c r="D259" s="8"/>
      <c r="E259" s="8"/>
      <c r="F259" s="8"/>
      <c r="G259" s="8"/>
      <c r="H259" s="8"/>
      <c r="I259" s="719"/>
      <c r="J259" s="1"/>
    </row>
    <row r="260" spans="1:10" ht="15.75">
      <c r="A260" s="457"/>
      <c r="B260" s="1345" t="s">
        <v>3936</v>
      </c>
      <c r="C260" s="14"/>
      <c r="D260" s="14"/>
      <c r="E260" s="14"/>
      <c r="F260" s="14"/>
      <c r="G260" s="14"/>
      <c r="H260" s="1371">
        <f ca="1">TODAY()</f>
        <v>43396</v>
      </c>
      <c r="I260" s="719"/>
      <c r="J260" s="1"/>
    </row>
    <row r="261" spans="1:10">
      <c r="A261" s="457"/>
      <c r="B261" s="8"/>
      <c r="C261" s="8"/>
      <c r="D261" s="8"/>
      <c r="E261" s="8"/>
      <c r="F261" s="8"/>
      <c r="G261" s="8"/>
      <c r="H261" s="8"/>
      <c r="I261" s="719"/>
      <c r="J261" s="1"/>
    </row>
    <row r="262" spans="1:10">
      <c r="A262" s="457"/>
      <c r="B262" s="8" t="s">
        <v>3907</v>
      </c>
      <c r="C262" s="8"/>
      <c r="D262" s="8"/>
      <c r="E262" s="8"/>
      <c r="F262" s="8"/>
      <c r="G262" s="8"/>
      <c r="H262" s="8"/>
      <c r="I262" s="719"/>
      <c r="J262" s="1"/>
    </row>
    <row r="263" spans="1:10">
      <c r="A263" s="457"/>
      <c r="B263" s="8"/>
      <c r="C263" s="8"/>
      <c r="D263" s="8"/>
      <c r="E263" s="8"/>
      <c r="F263" s="8"/>
      <c r="G263" s="8"/>
      <c r="H263" s="8"/>
      <c r="I263" s="719"/>
      <c r="J263" s="1"/>
    </row>
    <row r="264" spans="1:10">
      <c r="A264" s="722"/>
      <c r="B264" s="225" t="str">
        <f t="shared" ref="B264:H264" si="10">B214</f>
        <v>lfd. Nr.</v>
      </c>
      <c r="C264" s="225" t="str">
        <f t="shared" si="10"/>
        <v>Leistung</v>
      </c>
      <c r="D264" s="225" t="str">
        <f t="shared" si="10"/>
        <v>Stück, Tage</v>
      </c>
      <c r="E264" s="225" t="str">
        <f t="shared" si="10"/>
        <v>Preis/Einheit</v>
      </c>
      <c r="F264" s="225" t="str">
        <f t="shared" si="10"/>
        <v>Nettosumme</v>
      </c>
      <c r="G264" s="225" t="str">
        <f t="shared" si="10"/>
        <v>MwSt</v>
      </c>
      <c r="H264" s="225" t="str">
        <f t="shared" si="10"/>
        <v>Bruttosumme</v>
      </c>
      <c r="I264" s="1346"/>
      <c r="J264" s="1"/>
    </row>
    <row r="265" spans="1:10">
      <c r="A265" s="722"/>
      <c r="B265" s="169"/>
      <c r="C265" s="169"/>
      <c r="D265" s="169"/>
      <c r="E265" s="169"/>
      <c r="F265" s="169"/>
      <c r="G265" s="169"/>
      <c r="H265" s="169"/>
      <c r="I265" s="1346"/>
      <c r="J265" s="1"/>
    </row>
    <row r="266" spans="1:10">
      <c r="A266" s="457"/>
      <c r="B266" s="166">
        <f t="shared" ref="B266:H281" si="11">B216</f>
        <v>1</v>
      </c>
      <c r="C266" s="1367" t="str">
        <f t="shared" si="11"/>
        <v>Nutzungshonorar Anzeigen bundesweit 1 Jahr</v>
      </c>
      <c r="D266" s="166">
        <f t="shared" si="11"/>
        <v>1.5</v>
      </c>
      <c r="E266" s="1368">
        <f t="shared" si="11"/>
        <v>1000</v>
      </c>
      <c r="F266" s="1368">
        <f t="shared" si="11"/>
        <v>1500</v>
      </c>
      <c r="G266" s="1368">
        <f t="shared" si="11"/>
        <v>285</v>
      </c>
      <c r="H266" s="1368">
        <f t="shared" si="11"/>
        <v>1785</v>
      </c>
      <c r="I266" s="719"/>
      <c r="J266" s="1"/>
    </row>
    <row r="267" spans="1:10">
      <c r="A267" s="457"/>
      <c r="B267" s="1361">
        <f t="shared" si="11"/>
        <v>2</v>
      </c>
      <c r="C267" s="1369" t="str">
        <f t="shared" si="11"/>
        <v>Casting</v>
      </c>
      <c r="D267" s="1361">
        <f t="shared" si="11"/>
        <v>1</v>
      </c>
      <c r="E267" s="1370">
        <f t="shared" si="11"/>
        <v>2000</v>
      </c>
      <c r="F267" s="1370">
        <f t="shared" si="11"/>
        <v>2000</v>
      </c>
      <c r="G267" s="1370">
        <f t="shared" si="11"/>
        <v>380</v>
      </c>
      <c r="H267" s="1370">
        <f t="shared" si="11"/>
        <v>2380</v>
      </c>
      <c r="I267" s="719"/>
      <c r="J267" s="1"/>
    </row>
    <row r="268" spans="1:10">
      <c r="A268" s="457"/>
      <c r="B268" s="166">
        <f t="shared" si="11"/>
        <v>3</v>
      </c>
      <c r="C268" s="1367" t="str">
        <f t="shared" si="11"/>
        <v>-</v>
      </c>
      <c r="D268" s="166">
        <f t="shared" si="11"/>
        <v>1</v>
      </c>
      <c r="E268" s="1368">
        <f t="shared" si="11"/>
        <v>0</v>
      </c>
      <c r="F268" s="1368">
        <f t="shared" si="11"/>
        <v>0</v>
      </c>
      <c r="G268" s="1368">
        <f t="shared" si="11"/>
        <v>0</v>
      </c>
      <c r="H268" s="1368">
        <f t="shared" si="11"/>
        <v>0</v>
      </c>
      <c r="I268" s="719"/>
      <c r="J268" s="1"/>
    </row>
    <row r="269" spans="1:10">
      <c r="A269" s="457"/>
      <c r="B269" s="1361">
        <f t="shared" si="11"/>
        <v>4</v>
      </c>
      <c r="C269" s="1369" t="str">
        <f t="shared" si="11"/>
        <v>Locationsuche</v>
      </c>
      <c r="D269" s="1361">
        <f t="shared" si="11"/>
        <v>2.5</v>
      </c>
      <c r="E269" s="1370">
        <f t="shared" si="11"/>
        <v>2000</v>
      </c>
      <c r="F269" s="1370">
        <f t="shared" si="11"/>
        <v>5000</v>
      </c>
      <c r="G269" s="1370">
        <f t="shared" si="11"/>
        <v>950</v>
      </c>
      <c r="H269" s="1370">
        <f t="shared" si="11"/>
        <v>5950</v>
      </c>
      <c r="I269" s="719"/>
      <c r="J269" s="1"/>
    </row>
    <row r="270" spans="1:10">
      <c r="A270" s="457"/>
      <c r="B270" s="166">
        <f t="shared" si="11"/>
        <v>5</v>
      </c>
      <c r="C270" s="1367" t="str">
        <f t="shared" si="11"/>
        <v>Casting</v>
      </c>
      <c r="D270" s="166">
        <f t="shared" si="11"/>
        <v>0.5</v>
      </c>
      <c r="E270" s="1368">
        <f t="shared" si="11"/>
        <v>2000</v>
      </c>
      <c r="F270" s="1368">
        <f t="shared" si="11"/>
        <v>1000</v>
      </c>
      <c r="G270" s="1368">
        <f t="shared" si="11"/>
        <v>190</v>
      </c>
      <c r="H270" s="1368">
        <f t="shared" si="11"/>
        <v>1190</v>
      </c>
      <c r="I270" s="719"/>
      <c r="J270" s="1"/>
    </row>
    <row r="271" spans="1:10">
      <c r="A271" s="457"/>
      <c r="B271" s="1361">
        <f t="shared" si="11"/>
        <v>6</v>
      </c>
      <c r="C271" s="1369" t="str">
        <f t="shared" si="11"/>
        <v>Assistent</v>
      </c>
      <c r="D271" s="1361">
        <f t="shared" si="11"/>
        <v>4</v>
      </c>
      <c r="E271" s="1370">
        <f t="shared" si="11"/>
        <v>200</v>
      </c>
      <c r="F271" s="1370">
        <f t="shared" si="11"/>
        <v>800</v>
      </c>
      <c r="G271" s="1370">
        <f t="shared" si="11"/>
        <v>152</v>
      </c>
      <c r="H271" s="1370">
        <f t="shared" si="11"/>
        <v>952</v>
      </c>
      <c r="I271" s="719"/>
      <c r="J271" s="1"/>
    </row>
    <row r="272" spans="1:10">
      <c r="A272" s="457"/>
      <c r="B272" s="166">
        <f t="shared" si="11"/>
        <v>7</v>
      </c>
      <c r="C272" s="1367" t="str">
        <f t="shared" si="11"/>
        <v>Hilfskräfte</v>
      </c>
      <c r="D272" s="166">
        <f t="shared" si="11"/>
        <v>2</v>
      </c>
      <c r="E272" s="1368">
        <f t="shared" si="11"/>
        <v>200</v>
      </c>
      <c r="F272" s="1368">
        <f t="shared" si="11"/>
        <v>400</v>
      </c>
      <c r="G272" s="1368">
        <f t="shared" si="11"/>
        <v>76</v>
      </c>
      <c r="H272" s="1368">
        <f t="shared" si="11"/>
        <v>476</v>
      </c>
      <c r="I272" s="719"/>
      <c r="J272" s="1"/>
    </row>
    <row r="273" spans="1:10">
      <c r="A273" s="457"/>
      <c r="B273" s="1361">
        <f t="shared" si="11"/>
        <v>8</v>
      </c>
      <c r="C273" s="1369" t="str">
        <f t="shared" si="11"/>
        <v>Visagistin</v>
      </c>
      <c r="D273" s="1361">
        <f t="shared" si="11"/>
        <v>2</v>
      </c>
      <c r="E273" s="1370">
        <f t="shared" si="11"/>
        <v>800</v>
      </c>
      <c r="F273" s="1370">
        <f t="shared" si="11"/>
        <v>1600</v>
      </c>
      <c r="G273" s="1370">
        <f t="shared" si="11"/>
        <v>304</v>
      </c>
      <c r="H273" s="1370">
        <f t="shared" si="11"/>
        <v>1904</v>
      </c>
      <c r="I273" s="719"/>
      <c r="J273" s="1"/>
    </row>
    <row r="274" spans="1:10">
      <c r="A274" s="457"/>
      <c r="B274" s="166">
        <f t="shared" si="11"/>
        <v>9</v>
      </c>
      <c r="C274" s="1367" t="str">
        <f t="shared" si="11"/>
        <v>Stylistin</v>
      </c>
      <c r="D274" s="166">
        <f t="shared" si="11"/>
        <v>3</v>
      </c>
      <c r="E274" s="1368">
        <f t="shared" si="11"/>
        <v>800</v>
      </c>
      <c r="F274" s="1368">
        <f t="shared" si="11"/>
        <v>2400</v>
      </c>
      <c r="G274" s="1368">
        <f t="shared" si="11"/>
        <v>456</v>
      </c>
      <c r="H274" s="1368">
        <f t="shared" si="11"/>
        <v>2856</v>
      </c>
      <c r="I274" s="719"/>
      <c r="J274" s="1"/>
    </row>
    <row r="275" spans="1:10">
      <c r="A275" s="457"/>
      <c r="B275" s="1361">
        <f t="shared" si="11"/>
        <v>10</v>
      </c>
      <c r="C275" s="1369" t="str">
        <f t="shared" si="11"/>
        <v>Model-Honorar</v>
      </c>
      <c r="D275" s="1361">
        <f t="shared" si="11"/>
        <v>1</v>
      </c>
      <c r="E275" s="1370">
        <f t="shared" si="11"/>
        <v>4800</v>
      </c>
      <c r="F275" s="1370">
        <f t="shared" si="11"/>
        <v>4800</v>
      </c>
      <c r="G275" s="1370">
        <f t="shared" si="11"/>
        <v>912</v>
      </c>
      <c r="H275" s="1370">
        <f t="shared" si="11"/>
        <v>5712</v>
      </c>
      <c r="I275" s="719"/>
      <c r="J275" s="1"/>
    </row>
    <row r="276" spans="1:10">
      <c r="A276" s="457"/>
      <c r="B276" s="166">
        <f t="shared" si="11"/>
        <v>11</v>
      </c>
      <c r="C276" s="1367" t="str">
        <f t="shared" si="11"/>
        <v>Laienmodelle</v>
      </c>
      <c r="D276" s="166">
        <f t="shared" si="11"/>
        <v>18</v>
      </c>
      <c r="E276" s="1368">
        <f t="shared" si="11"/>
        <v>250</v>
      </c>
      <c r="F276" s="1368">
        <f t="shared" si="11"/>
        <v>4500</v>
      </c>
      <c r="G276" s="1368">
        <f t="shared" si="11"/>
        <v>855</v>
      </c>
      <c r="H276" s="1368">
        <f t="shared" si="11"/>
        <v>5355</v>
      </c>
      <c r="I276" s="719"/>
      <c r="J276" s="1"/>
    </row>
    <row r="277" spans="1:10">
      <c r="A277" s="457"/>
      <c r="B277" s="1361">
        <f t="shared" si="11"/>
        <v>12</v>
      </c>
      <c r="C277" s="1369" t="str">
        <f t="shared" si="11"/>
        <v>Spesen/Fahrkosten für Laienmod.</v>
      </c>
      <c r="D277" s="1361">
        <f t="shared" si="11"/>
        <v>2</v>
      </c>
      <c r="E277" s="1370">
        <f t="shared" si="11"/>
        <v>667.5</v>
      </c>
      <c r="F277" s="1370">
        <f t="shared" si="11"/>
        <v>1335</v>
      </c>
      <c r="G277" s="1370">
        <f t="shared" si="11"/>
        <v>253.65</v>
      </c>
      <c r="H277" s="1370">
        <f t="shared" si="11"/>
        <v>1588.65</v>
      </c>
      <c r="I277" s="719"/>
      <c r="J277" s="1"/>
    </row>
    <row r="278" spans="1:10">
      <c r="A278" s="457"/>
      <c r="B278" s="166">
        <f t="shared" si="11"/>
        <v>13</v>
      </c>
      <c r="C278" s="1367" t="str">
        <f t="shared" si="11"/>
        <v>Fotomaterial</v>
      </c>
      <c r="D278" s="166">
        <f t="shared" si="11"/>
        <v>45</v>
      </c>
      <c r="E278" s="1368">
        <f t="shared" si="11"/>
        <v>11</v>
      </c>
      <c r="F278" s="1368">
        <f t="shared" si="11"/>
        <v>495</v>
      </c>
      <c r="G278" s="1368">
        <f t="shared" si="11"/>
        <v>94.05</v>
      </c>
      <c r="H278" s="1368">
        <f t="shared" si="11"/>
        <v>589.04999999999995</v>
      </c>
      <c r="I278" s="719"/>
      <c r="J278" s="1"/>
    </row>
    <row r="279" spans="1:10">
      <c r="A279" s="457"/>
      <c r="B279" s="1361">
        <f t="shared" si="11"/>
        <v>14</v>
      </c>
      <c r="C279" s="1369" t="str">
        <f t="shared" si="11"/>
        <v>Filmverarbeitung</v>
      </c>
      <c r="D279" s="1361">
        <f t="shared" si="11"/>
        <v>45</v>
      </c>
      <c r="E279" s="1370">
        <f t="shared" si="11"/>
        <v>7</v>
      </c>
      <c r="F279" s="1370">
        <f t="shared" si="11"/>
        <v>315</v>
      </c>
      <c r="G279" s="1370">
        <f t="shared" si="11"/>
        <v>59.85</v>
      </c>
      <c r="H279" s="1370">
        <f t="shared" si="11"/>
        <v>374.85</v>
      </c>
      <c r="I279" s="719"/>
      <c r="J279" s="1"/>
    </row>
    <row r="280" spans="1:10">
      <c r="A280" s="457"/>
      <c r="B280" s="166">
        <f t="shared" si="11"/>
        <v>15</v>
      </c>
      <c r="C280" s="1367" t="str">
        <f t="shared" si="11"/>
        <v>Polaroids</v>
      </c>
      <c r="D280" s="166">
        <f t="shared" si="11"/>
        <v>19</v>
      </c>
      <c r="E280" s="1368">
        <f t="shared" si="11"/>
        <v>4</v>
      </c>
      <c r="F280" s="1368">
        <f t="shared" si="11"/>
        <v>76</v>
      </c>
      <c r="G280" s="1368">
        <f t="shared" si="11"/>
        <v>14.44</v>
      </c>
      <c r="H280" s="1368">
        <f t="shared" si="11"/>
        <v>90.44</v>
      </c>
      <c r="I280" s="719"/>
      <c r="J280" s="1"/>
    </row>
    <row r="281" spans="1:10">
      <c r="A281" s="457"/>
      <c r="B281" s="1361">
        <f t="shared" si="11"/>
        <v>16</v>
      </c>
      <c r="C281" s="1369" t="str">
        <f t="shared" si="11"/>
        <v>Transportkosten</v>
      </c>
      <c r="D281" s="1361">
        <f t="shared" si="11"/>
        <v>1</v>
      </c>
      <c r="E281" s="1370">
        <f t="shared" si="11"/>
        <v>265</v>
      </c>
      <c r="F281" s="1370">
        <f t="shared" si="11"/>
        <v>265</v>
      </c>
      <c r="G281" s="1370">
        <f t="shared" si="11"/>
        <v>50.35</v>
      </c>
      <c r="H281" s="1370">
        <f t="shared" si="11"/>
        <v>315.35000000000002</v>
      </c>
      <c r="I281" s="719"/>
      <c r="J281" s="1"/>
    </row>
    <row r="282" spans="1:10">
      <c r="A282" s="457"/>
      <c r="B282" s="166">
        <f t="shared" ref="B282:H285" si="12">B232</f>
        <v>17</v>
      </c>
      <c r="C282" s="1367" t="str">
        <f t="shared" si="12"/>
        <v>Leihgebühr für Scheinwerfer</v>
      </c>
      <c r="D282" s="166">
        <f t="shared" si="12"/>
        <v>5</v>
      </c>
      <c r="E282" s="1368">
        <f t="shared" si="12"/>
        <v>80</v>
      </c>
      <c r="F282" s="1368">
        <f t="shared" si="12"/>
        <v>400</v>
      </c>
      <c r="G282" s="1368">
        <f t="shared" si="12"/>
        <v>76</v>
      </c>
      <c r="H282" s="1368">
        <f t="shared" si="12"/>
        <v>476</v>
      </c>
      <c r="I282" s="719"/>
      <c r="J282" s="1"/>
    </row>
    <row r="283" spans="1:10">
      <c r="A283" s="457"/>
      <c r="B283" s="1361">
        <f t="shared" si="12"/>
        <v>18</v>
      </c>
      <c r="C283" s="1369" t="str">
        <f t="shared" si="12"/>
        <v>Leihgebühr für Requisiten</v>
      </c>
      <c r="D283" s="1361">
        <f t="shared" si="12"/>
        <v>1</v>
      </c>
      <c r="E283" s="1370">
        <f t="shared" si="12"/>
        <v>1492</v>
      </c>
      <c r="F283" s="1370">
        <f t="shared" si="12"/>
        <v>1492</v>
      </c>
      <c r="G283" s="1370">
        <f t="shared" si="12"/>
        <v>283.48</v>
      </c>
      <c r="H283" s="1370">
        <f t="shared" si="12"/>
        <v>1775.48</v>
      </c>
      <c r="I283" s="719"/>
      <c r="J283" s="1"/>
    </row>
    <row r="284" spans="1:10">
      <c r="A284" s="457"/>
      <c r="B284" s="166">
        <f t="shared" si="12"/>
        <v>19</v>
      </c>
      <c r="C284" s="1367" t="str">
        <f t="shared" si="12"/>
        <v>Bewirtung der Crew und der Modelle</v>
      </c>
      <c r="D284" s="166">
        <f t="shared" si="12"/>
        <v>1</v>
      </c>
      <c r="E284" s="1368">
        <f t="shared" si="12"/>
        <v>470</v>
      </c>
      <c r="F284" s="1368">
        <f t="shared" si="12"/>
        <v>470</v>
      </c>
      <c r="G284" s="1368">
        <f t="shared" si="12"/>
        <v>89.3</v>
      </c>
      <c r="H284" s="1368">
        <f t="shared" si="12"/>
        <v>559.29999999999995</v>
      </c>
      <c r="I284" s="719"/>
      <c r="J284" s="1"/>
    </row>
    <row r="285" spans="1:10">
      <c r="A285" s="457"/>
      <c r="B285" s="1361">
        <f t="shared" si="12"/>
        <v>20</v>
      </c>
      <c r="C285" s="1369" t="str">
        <f t="shared" si="12"/>
        <v>Aufnahmegenehmigung durch Ordnungsamt</v>
      </c>
      <c r="D285" s="1361">
        <f t="shared" si="12"/>
        <v>1</v>
      </c>
      <c r="E285" s="1370">
        <f t="shared" si="12"/>
        <v>35</v>
      </c>
      <c r="F285" s="1370">
        <f t="shared" si="12"/>
        <v>35</v>
      </c>
      <c r="G285" s="1370">
        <f t="shared" si="12"/>
        <v>6.65</v>
      </c>
      <c r="H285" s="1370">
        <f t="shared" si="12"/>
        <v>41.65</v>
      </c>
      <c r="I285" s="719"/>
      <c r="J285" s="1"/>
    </row>
    <row r="286" spans="1:10">
      <c r="A286" s="457"/>
      <c r="B286" s="169"/>
      <c r="C286" s="169"/>
      <c r="D286" s="169"/>
      <c r="E286" s="1352"/>
      <c r="F286" s="1352"/>
      <c r="G286" s="1352"/>
      <c r="H286" s="1352"/>
      <c r="I286" s="719"/>
      <c r="J286" s="1"/>
    </row>
    <row r="287" spans="1:10">
      <c r="A287" s="457"/>
      <c r="B287" s="169"/>
      <c r="C287" s="169" t="str">
        <f>C237</f>
        <v>Zwischensummen</v>
      </c>
      <c r="D287" s="169"/>
      <c r="E287" s="1352"/>
      <c r="F287" s="1352">
        <f>F237</f>
        <v>28883</v>
      </c>
      <c r="G287" s="1352">
        <f>G237</f>
        <v>5487.7699999999995</v>
      </c>
      <c r="H287" s="1352">
        <f>H237</f>
        <v>34370.770000000004</v>
      </c>
      <c r="I287" s="719"/>
      <c r="J287" s="1"/>
    </row>
    <row r="288" spans="1:10">
      <c r="A288" s="457"/>
      <c r="B288" s="169"/>
      <c r="C288" s="169"/>
      <c r="D288" s="169"/>
      <c r="E288" s="1348"/>
      <c r="F288" s="1348"/>
      <c r="G288" s="1348"/>
      <c r="H288" s="1348"/>
      <c r="I288" s="719"/>
      <c r="J288" s="1"/>
    </row>
    <row r="289" spans="1:10">
      <c r="A289" s="457"/>
      <c r="B289" s="169"/>
      <c r="C289" s="169"/>
      <c r="D289" s="169"/>
      <c r="E289" s="1348"/>
      <c r="F289" s="1348"/>
      <c r="G289" s="1352" t="str">
        <f>G239</f>
        <v>insgesamt brutto</v>
      </c>
      <c r="H289" s="1352">
        <f>H239</f>
        <v>34370.770000000004</v>
      </c>
      <c r="I289" s="719"/>
      <c r="J289" s="1"/>
    </row>
    <row r="290" spans="1:10">
      <c r="A290" s="457"/>
      <c r="B290" s="169"/>
      <c r="C290" s="169"/>
      <c r="D290" s="169"/>
      <c r="E290" s="1348"/>
      <c r="F290" s="1348"/>
      <c r="G290" s="1352"/>
      <c r="H290" s="1352"/>
      <c r="I290" s="719"/>
      <c r="J290" s="1"/>
    </row>
    <row r="291" spans="1:10">
      <c r="A291" s="457"/>
      <c r="B291" s="169"/>
      <c r="C291" s="8"/>
      <c r="D291" s="8"/>
      <c r="E291" s="234" t="s">
        <v>3937</v>
      </c>
      <c r="F291" s="8"/>
      <c r="G291" s="1352">
        <v>20000</v>
      </c>
      <c r="H291" s="1353"/>
      <c r="I291" s="719"/>
      <c r="J291" s="1"/>
    </row>
    <row r="292" spans="1:10">
      <c r="A292" s="457"/>
      <c r="B292" s="169"/>
      <c r="C292" s="8"/>
      <c r="D292" s="8"/>
      <c r="E292" s="234" t="s">
        <v>3938</v>
      </c>
      <c r="F292" s="1351">
        <f>D198</f>
        <v>0.19</v>
      </c>
      <c r="G292" s="1353">
        <f>G291*D198</f>
        <v>3800</v>
      </c>
      <c r="H292" s="1353"/>
      <c r="I292" s="719"/>
      <c r="J292" s="1"/>
    </row>
    <row r="293" spans="1:10">
      <c r="A293" s="457"/>
      <c r="B293" s="169"/>
      <c r="C293" s="8"/>
      <c r="D293" s="8"/>
      <c r="E293" s="234"/>
      <c r="F293" s="169"/>
      <c r="G293" s="1353"/>
      <c r="H293" s="1353">
        <f>G291+G292</f>
        <v>23800</v>
      </c>
      <c r="I293" s="719"/>
      <c r="J293" s="1"/>
    </row>
    <row r="294" spans="1:10">
      <c r="A294" s="457"/>
      <c r="B294" s="169"/>
      <c r="C294" s="8"/>
      <c r="D294" s="8"/>
      <c r="E294" s="234"/>
      <c r="F294" s="8"/>
      <c r="G294" s="1353"/>
      <c r="H294" s="1354"/>
      <c r="I294" s="719"/>
      <c r="J294" s="1"/>
    </row>
    <row r="295" spans="1:10">
      <c r="A295" s="457"/>
      <c r="B295" s="169"/>
      <c r="C295" s="8"/>
      <c r="D295" s="8"/>
      <c r="E295" s="278" t="s">
        <v>3939</v>
      </c>
      <c r="F295" s="172"/>
      <c r="G295" s="1355"/>
      <c r="H295" s="1355">
        <f>H289-H293</f>
        <v>10570.770000000004</v>
      </c>
      <c r="I295" s="719"/>
      <c r="J295" s="1"/>
    </row>
    <row r="296" spans="1:10">
      <c r="A296" s="457"/>
      <c r="B296" s="8"/>
      <c r="C296" s="8"/>
      <c r="D296" s="8"/>
      <c r="E296" s="8"/>
      <c r="F296" s="8"/>
      <c r="G296" s="8"/>
      <c r="H296" s="8"/>
      <c r="I296" s="719"/>
      <c r="J296" s="1"/>
    </row>
    <row r="297" spans="1:10">
      <c r="A297" s="457"/>
      <c r="B297" s="8"/>
      <c r="C297" s="8"/>
      <c r="D297" s="8"/>
      <c r="E297" s="8"/>
      <c r="F297" s="8"/>
      <c r="G297" s="8"/>
      <c r="H297" s="8"/>
      <c r="I297" s="719"/>
      <c r="J297" s="1"/>
    </row>
    <row r="298" spans="1:10" ht="13.5" thickBot="1">
      <c r="A298" s="459"/>
      <c r="B298" s="728"/>
      <c r="C298" s="728"/>
      <c r="D298" s="728"/>
      <c r="E298" s="728"/>
      <c r="F298" s="728"/>
      <c r="G298" s="728"/>
      <c r="H298" s="728"/>
      <c r="I298" s="729"/>
      <c r="J298" s="1"/>
    </row>
    <row r="299" spans="1:10">
      <c r="A299" s="1"/>
      <c r="B299" s="1"/>
      <c r="C299" s="1"/>
      <c r="D299" s="1"/>
      <c r="E299" s="1"/>
      <c r="F299" s="1"/>
      <c r="G299" s="1"/>
      <c r="H299" s="1"/>
      <c r="I299" s="1"/>
      <c r="J299" s="1"/>
    </row>
    <row r="300" spans="1:10">
      <c r="A300" s="1"/>
      <c r="B300" s="1"/>
      <c r="C300" s="1"/>
      <c r="D300" s="1"/>
      <c r="E300" s="1"/>
      <c r="F300" s="1"/>
      <c r="G300" s="1"/>
      <c r="H300" s="1"/>
      <c r="I300" s="1"/>
      <c r="J300" s="1"/>
    </row>
    <row r="301" spans="1:10">
      <c r="A301" s="346" t="s">
        <v>3887</v>
      </c>
      <c r="B301" s="346"/>
      <c r="C301" s="346"/>
      <c r="D301" s="346"/>
      <c r="E301" s="346"/>
      <c r="F301" s="346"/>
    </row>
    <row r="302" spans="1:10">
      <c r="A302" s="346"/>
      <c r="B302" s="346"/>
      <c r="C302" s="346"/>
      <c r="D302" s="346"/>
      <c r="E302" s="346"/>
      <c r="F302" s="346"/>
    </row>
    <row r="303" spans="1:10">
      <c r="A303" s="346"/>
      <c r="B303" s="346" t="s">
        <v>3840</v>
      </c>
      <c r="C303" s="175" t="s">
        <v>3909</v>
      </c>
      <c r="D303" s="339" t="s">
        <v>3911</v>
      </c>
      <c r="E303" s="346"/>
      <c r="F303" s="346"/>
    </row>
    <row r="304" spans="1:10">
      <c r="A304" s="346"/>
      <c r="B304" s="1187">
        <v>1</v>
      </c>
      <c r="C304" s="1372" t="s">
        <v>3949</v>
      </c>
      <c r="D304" s="1360">
        <v>0</v>
      </c>
      <c r="E304" s="346"/>
      <c r="F304" s="346"/>
    </row>
    <row r="305" spans="1:6">
      <c r="A305" s="346"/>
      <c r="B305" s="1187">
        <v>2</v>
      </c>
      <c r="C305" s="1359" t="s">
        <v>3914</v>
      </c>
      <c r="D305" s="1360">
        <v>3000</v>
      </c>
      <c r="E305" s="346"/>
      <c r="F305" s="346"/>
    </row>
    <row r="306" spans="1:6">
      <c r="A306" s="346"/>
      <c r="B306" s="1187">
        <v>3</v>
      </c>
      <c r="C306" s="1359" t="s">
        <v>3915</v>
      </c>
      <c r="D306" s="1360">
        <v>1000</v>
      </c>
      <c r="E306" s="346"/>
      <c r="F306" s="346"/>
    </row>
    <row r="307" spans="1:6">
      <c r="A307" s="346"/>
      <c r="B307" s="1187">
        <v>4</v>
      </c>
      <c r="C307" s="1359" t="s">
        <v>3916</v>
      </c>
      <c r="D307" s="1360">
        <v>1300</v>
      </c>
      <c r="E307" s="346"/>
      <c r="F307" s="346"/>
    </row>
    <row r="308" spans="1:6">
      <c r="A308" s="346"/>
      <c r="B308" s="1187">
        <v>5</v>
      </c>
      <c r="C308" s="1359" t="s">
        <v>3917</v>
      </c>
      <c r="D308" s="1360">
        <v>2000</v>
      </c>
      <c r="E308" s="346"/>
      <c r="F308" s="346"/>
    </row>
    <row r="309" spans="1:6">
      <c r="A309" s="346"/>
      <c r="B309" s="1187">
        <v>6</v>
      </c>
      <c r="C309" s="1359" t="s">
        <v>3918</v>
      </c>
      <c r="D309" s="1360">
        <v>2000</v>
      </c>
      <c r="E309" s="346"/>
      <c r="F309" s="346"/>
    </row>
    <row r="310" spans="1:6">
      <c r="A310" s="346"/>
      <c r="B310" s="1187">
        <v>7</v>
      </c>
      <c r="C310" s="1359" t="s">
        <v>3919</v>
      </c>
      <c r="D310" s="1360">
        <v>200</v>
      </c>
      <c r="E310" s="346"/>
      <c r="F310" s="346"/>
    </row>
    <row r="311" spans="1:6">
      <c r="A311" s="346"/>
      <c r="B311" s="1187">
        <v>8</v>
      </c>
      <c r="C311" s="1359" t="s">
        <v>3920</v>
      </c>
      <c r="D311" s="1360">
        <v>200</v>
      </c>
      <c r="E311" s="346"/>
      <c r="F311" s="346"/>
    </row>
    <row r="312" spans="1:6">
      <c r="A312" s="346"/>
      <c r="B312" s="1187">
        <v>9</v>
      </c>
      <c r="C312" s="1359" t="s">
        <v>3921</v>
      </c>
      <c r="D312" s="1360">
        <v>800</v>
      </c>
      <c r="E312" s="346"/>
      <c r="F312" s="346"/>
    </row>
    <row r="313" spans="1:6">
      <c r="A313" s="346"/>
      <c r="B313" s="1187">
        <v>10</v>
      </c>
      <c r="C313" s="1359" t="s">
        <v>3922</v>
      </c>
      <c r="D313" s="1360">
        <v>800</v>
      </c>
      <c r="E313" s="346"/>
      <c r="F313" s="346"/>
    </row>
    <row r="314" spans="1:6">
      <c r="A314" s="346"/>
      <c r="B314" s="1187">
        <v>11</v>
      </c>
      <c r="C314" s="1359" t="s">
        <v>3923</v>
      </c>
      <c r="D314" s="1360">
        <v>4800</v>
      </c>
      <c r="E314" s="346"/>
      <c r="F314" s="346"/>
    </row>
    <row r="315" spans="1:6">
      <c r="A315" s="346"/>
      <c r="B315" s="1187">
        <v>12</v>
      </c>
      <c r="C315" s="1359" t="s">
        <v>3924</v>
      </c>
      <c r="D315" s="1360">
        <v>250</v>
      </c>
      <c r="E315" s="346"/>
      <c r="F315" s="346"/>
    </row>
    <row r="316" spans="1:6">
      <c r="A316" s="346"/>
      <c r="B316" s="1187">
        <v>13</v>
      </c>
      <c r="C316" s="1359" t="s">
        <v>3925</v>
      </c>
      <c r="D316" s="1360">
        <v>667.5</v>
      </c>
      <c r="E316" s="346"/>
      <c r="F316" s="346"/>
    </row>
    <row r="317" spans="1:6">
      <c r="A317" s="346"/>
      <c r="B317" s="1187">
        <v>14</v>
      </c>
      <c r="C317" s="1359" t="s">
        <v>3926</v>
      </c>
      <c r="D317" s="1360">
        <v>11</v>
      </c>
      <c r="E317" s="346"/>
      <c r="F317" s="346"/>
    </row>
    <row r="318" spans="1:6">
      <c r="A318" s="346"/>
      <c r="B318" s="1187">
        <v>15</v>
      </c>
      <c r="C318" s="1359" t="s">
        <v>3927</v>
      </c>
      <c r="D318" s="1360">
        <v>7</v>
      </c>
      <c r="E318" s="346"/>
      <c r="F318" s="346"/>
    </row>
    <row r="319" spans="1:6">
      <c r="A319" s="346"/>
      <c r="B319" s="1187">
        <v>16</v>
      </c>
      <c r="C319" s="1359" t="s">
        <v>3928</v>
      </c>
      <c r="D319" s="1360">
        <v>4</v>
      </c>
      <c r="E319" s="346"/>
      <c r="F319" s="346"/>
    </row>
    <row r="320" spans="1:6">
      <c r="A320" s="346"/>
      <c r="B320" s="1187">
        <v>17</v>
      </c>
      <c r="C320" s="1359" t="s">
        <v>3929</v>
      </c>
      <c r="D320" s="1360">
        <v>265</v>
      </c>
      <c r="E320" s="346"/>
      <c r="F320" s="346"/>
    </row>
    <row r="321" spans="1:6">
      <c r="A321" s="346"/>
      <c r="B321" s="1187">
        <v>18</v>
      </c>
      <c r="C321" s="1359" t="s">
        <v>3930</v>
      </c>
      <c r="D321" s="1360">
        <v>80</v>
      </c>
      <c r="E321" s="346"/>
      <c r="F321" s="346"/>
    </row>
    <row r="322" spans="1:6">
      <c r="A322" s="346"/>
      <c r="B322" s="1187">
        <v>19</v>
      </c>
      <c r="C322" s="1359" t="s">
        <v>3931</v>
      </c>
      <c r="D322" s="1360">
        <v>1492</v>
      </c>
      <c r="E322" s="346"/>
      <c r="F322" s="346"/>
    </row>
    <row r="323" spans="1:6">
      <c r="A323" s="346"/>
      <c r="B323" s="1187">
        <v>20</v>
      </c>
      <c r="C323" s="1359" t="s">
        <v>3932</v>
      </c>
      <c r="D323" s="1360">
        <v>470</v>
      </c>
      <c r="E323" s="346"/>
      <c r="F323" s="346"/>
    </row>
    <row r="324" spans="1:6">
      <c r="A324" s="346"/>
      <c r="B324" s="1187">
        <v>21</v>
      </c>
      <c r="C324" s="1359" t="s">
        <v>3933</v>
      </c>
      <c r="D324" s="1360">
        <v>35</v>
      </c>
      <c r="E324" s="346"/>
      <c r="F324" s="346"/>
    </row>
    <row r="325" spans="1:6">
      <c r="A325" s="346"/>
      <c r="B325" s="346"/>
      <c r="C325" s="346"/>
      <c r="D325" s="346"/>
      <c r="E325" s="346"/>
      <c r="F325" s="346"/>
    </row>
    <row r="326" spans="1:6">
      <c r="A326" s="346"/>
      <c r="B326" s="346"/>
      <c r="C326" s="346"/>
      <c r="D326" s="346"/>
      <c r="E326" s="346"/>
      <c r="F326" s="346"/>
    </row>
    <row r="327" spans="1:6">
      <c r="A327" s="346"/>
      <c r="B327" s="346"/>
      <c r="C327" s="346"/>
      <c r="D327" s="346"/>
      <c r="E327" s="346"/>
      <c r="F327" s="346"/>
    </row>
    <row r="328" spans="1:6">
      <c r="A328" s="346"/>
      <c r="B328" s="346"/>
      <c r="C328" s="346"/>
      <c r="D328" s="346"/>
      <c r="E328" s="346"/>
      <c r="F328" s="346"/>
    </row>
  </sheetData>
  <sortState ref="C27:F42">
    <sortCondition ref="C27:C42"/>
  </sortState>
  <pageMargins left="0.78740157499999996" right="0.78740157499999996" top="0.984251969" bottom="0.984251969" header="0.4921259845" footer="0.4921259845"/>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Drop Down 1">
              <controlPr defaultSize="0" autoLine="0" autoPict="0">
                <anchor moveWithCells="1">
                  <from>
                    <xdr:col>0</xdr:col>
                    <xdr:colOff>676275</xdr:colOff>
                    <xdr:row>62</xdr:row>
                    <xdr:rowOff>19050</xdr:rowOff>
                  </from>
                  <to>
                    <xdr:col>0</xdr:col>
                    <xdr:colOff>1771650</xdr:colOff>
                    <xdr:row>62</xdr:row>
                    <xdr:rowOff>219075</xdr:rowOff>
                  </to>
                </anchor>
              </controlPr>
            </control>
          </mc:Choice>
        </mc:AlternateContent>
        <mc:AlternateContent xmlns:mc="http://schemas.openxmlformats.org/markup-compatibility/2006">
          <mc:Choice Requires="x14">
            <control shapeId="46082" r:id="rId5" name="Drop Down 2">
              <controlPr defaultSize="0" autoLine="0" autoPict="0">
                <anchor moveWithCells="1">
                  <from>
                    <xdr:col>0</xdr:col>
                    <xdr:colOff>676275</xdr:colOff>
                    <xdr:row>63</xdr:row>
                    <xdr:rowOff>28575</xdr:rowOff>
                  </from>
                  <to>
                    <xdr:col>0</xdr:col>
                    <xdr:colOff>1771650</xdr:colOff>
                    <xdr:row>63</xdr:row>
                    <xdr:rowOff>228600</xdr:rowOff>
                  </to>
                </anchor>
              </controlPr>
            </control>
          </mc:Choice>
        </mc:AlternateContent>
        <mc:AlternateContent xmlns:mc="http://schemas.openxmlformats.org/markup-compatibility/2006">
          <mc:Choice Requires="x14">
            <control shapeId="46083" r:id="rId6" name="Drop Down 3">
              <controlPr defaultSize="0" autoLine="0" autoPict="0">
                <anchor moveWithCells="1">
                  <from>
                    <xdr:col>0</xdr:col>
                    <xdr:colOff>666750</xdr:colOff>
                    <xdr:row>64</xdr:row>
                    <xdr:rowOff>28575</xdr:rowOff>
                  </from>
                  <to>
                    <xdr:col>0</xdr:col>
                    <xdr:colOff>1762125</xdr:colOff>
                    <xdr:row>64</xdr:row>
                    <xdr:rowOff>228600</xdr:rowOff>
                  </to>
                </anchor>
              </controlPr>
            </control>
          </mc:Choice>
        </mc:AlternateContent>
        <mc:AlternateContent xmlns:mc="http://schemas.openxmlformats.org/markup-compatibility/2006">
          <mc:Choice Requires="x14">
            <control shapeId="46084" r:id="rId7" name="Drop Down 4">
              <controlPr defaultSize="0" autoLine="0" autoPict="0">
                <anchor moveWithCells="1">
                  <from>
                    <xdr:col>0</xdr:col>
                    <xdr:colOff>666750</xdr:colOff>
                    <xdr:row>65</xdr:row>
                    <xdr:rowOff>19050</xdr:rowOff>
                  </from>
                  <to>
                    <xdr:col>0</xdr:col>
                    <xdr:colOff>1762125</xdr:colOff>
                    <xdr:row>65</xdr:row>
                    <xdr:rowOff>219075</xdr:rowOff>
                  </to>
                </anchor>
              </controlPr>
            </control>
          </mc:Choice>
        </mc:AlternateContent>
        <mc:AlternateContent xmlns:mc="http://schemas.openxmlformats.org/markup-compatibility/2006">
          <mc:Choice Requires="x14">
            <control shapeId="46085" r:id="rId8" name="Drop Down 5">
              <controlPr defaultSize="0" autoLine="0" autoPict="0">
                <anchor moveWithCells="1">
                  <from>
                    <xdr:col>0</xdr:col>
                    <xdr:colOff>666750</xdr:colOff>
                    <xdr:row>66</xdr:row>
                    <xdr:rowOff>28575</xdr:rowOff>
                  </from>
                  <to>
                    <xdr:col>0</xdr:col>
                    <xdr:colOff>1762125</xdr:colOff>
                    <xdr:row>66</xdr:row>
                    <xdr:rowOff>228600</xdr:rowOff>
                  </to>
                </anchor>
              </controlPr>
            </control>
          </mc:Choice>
        </mc:AlternateContent>
        <mc:AlternateContent xmlns:mc="http://schemas.openxmlformats.org/markup-compatibility/2006">
          <mc:Choice Requires="x14">
            <control shapeId="46086" r:id="rId9" name="Drop Down 6">
              <controlPr defaultSize="0" autoLine="0" autoPict="0">
                <anchor moveWithCells="1">
                  <from>
                    <xdr:col>0</xdr:col>
                    <xdr:colOff>666750</xdr:colOff>
                    <xdr:row>67</xdr:row>
                    <xdr:rowOff>19050</xdr:rowOff>
                  </from>
                  <to>
                    <xdr:col>0</xdr:col>
                    <xdr:colOff>1762125</xdr:colOff>
                    <xdr:row>67</xdr:row>
                    <xdr:rowOff>219075</xdr:rowOff>
                  </to>
                </anchor>
              </controlPr>
            </control>
          </mc:Choice>
        </mc:AlternateContent>
        <mc:AlternateContent xmlns:mc="http://schemas.openxmlformats.org/markup-compatibility/2006">
          <mc:Choice Requires="x14">
            <control shapeId="46087" r:id="rId10" name="Drop Down 7">
              <controlPr defaultSize="0" autoLine="0" autoPict="0">
                <anchor moveWithCells="1">
                  <from>
                    <xdr:col>0</xdr:col>
                    <xdr:colOff>666750</xdr:colOff>
                    <xdr:row>68</xdr:row>
                    <xdr:rowOff>28575</xdr:rowOff>
                  </from>
                  <to>
                    <xdr:col>0</xdr:col>
                    <xdr:colOff>1762125</xdr:colOff>
                    <xdr:row>68</xdr:row>
                    <xdr:rowOff>228600</xdr:rowOff>
                  </to>
                </anchor>
              </controlPr>
            </control>
          </mc:Choice>
        </mc:AlternateContent>
        <mc:AlternateContent xmlns:mc="http://schemas.openxmlformats.org/markup-compatibility/2006">
          <mc:Choice Requires="x14">
            <control shapeId="46088" r:id="rId11" name="Drop Down 8">
              <controlPr defaultSize="0" autoLine="0" autoPict="0">
                <anchor moveWithCells="1">
                  <from>
                    <xdr:col>0</xdr:col>
                    <xdr:colOff>657225</xdr:colOff>
                    <xdr:row>69</xdr:row>
                    <xdr:rowOff>19050</xdr:rowOff>
                  </from>
                  <to>
                    <xdr:col>0</xdr:col>
                    <xdr:colOff>1752600</xdr:colOff>
                    <xdr:row>69</xdr:row>
                    <xdr:rowOff>219075</xdr:rowOff>
                  </to>
                </anchor>
              </controlPr>
            </control>
          </mc:Choice>
        </mc:AlternateContent>
        <mc:AlternateContent xmlns:mc="http://schemas.openxmlformats.org/markup-compatibility/2006">
          <mc:Choice Requires="x14">
            <control shapeId="46090" r:id="rId12" name="Drop Down 10">
              <controlPr defaultSize="0" autoLine="0" autoPict="0">
                <anchor moveWithCells="1">
                  <from>
                    <xdr:col>9</xdr:col>
                    <xdr:colOff>28575</xdr:colOff>
                    <xdr:row>215</xdr:row>
                    <xdr:rowOff>57150</xdr:rowOff>
                  </from>
                  <to>
                    <xdr:col>9</xdr:col>
                    <xdr:colOff>1504950</xdr:colOff>
                    <xdr:row>216</xdr:row>
                    <xdr:rowOff>9525</xdr:rowOff>
                  </to>
                </anchor>
              </controlPr>
            </control>
          </mc:Choice>
        </mc:AlternateContent>
        <mc:AlternateContent xmlns:mc="http://schemas.openxmlformats.org/markup-compatibility/2006">
          <mc:Choice Requires="x14">
            <control shapeId="46091" r:id="rId13" name="Drop Down 11">
              <controlPr defaultSize="0" autoLine="0" autoPict="0">
                <anchor moveWithCells="1">
                  <from>
                    <xdr:col>9</xdr:col>
                    <xdr:colOff>28575</xdr:colOff>
                    <xdr:row>217</xdr:row>
                    <xdr:rowOff>0</xdr:rowOff>
                  </from>
                  <to>
                    <xdr:col>9</xdr:col>
                    <xdr:colOff>1504950</xdr:colOff>
                    <xdr:row>217</xdr:row>
                    <xdr:rowOff>200025</xdr:rowOff>
                  </to>
                </anchor>
              </controlPr>
            </control>
          </mc:Choice>
        </mc:AlternateContent>
        <mc:AlternateContent xmlns:mc="http://schemas.openxmlformats.org/markup-compatibility/2006">
          <mc:Choice Requires="x14">
            <control shapeId="46092" r:id="rId14" name="Drop Down 12">
              <controlPr defaultSize="0" autoLine="0" autoPict="0">
                <anchor moveWithCells="1">
                  <from>
                    <xdr:col>9</xdr:col>
                    <xdr:colOff>28575</xdr:colOff>
                    <xdr:row>216</xdr:row>
                    <xdr:rowOff>28575</xdr:rowOff>
                  </from>
                  <to>
                    <xdr:col>9</xdr:col>
                    <xdr:colOff>1504950</xdr:colOff>
                    <xdr:row>216</xdr:row>
                    <xdr:rowOff>228600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2"/>
  <dimension ref="A1:M31"/>
  <sheetViews>
    <sheetView workbookViewId="0">
      <selection activeCell="I9" sqref="I9"/>
    </sheetView>
  </sheetViews>
  <sheetFormatPr baseColWidth="10" defaultColWidth="11.42578125" defaultRowHeight="15"/>
  <cols>
    <col min="1" max="1" width="11.42578125" style="1374"/>
    <col min="2" max="2" width="33.85546875" style="1374" customWidth="1"/>
    <col min="3" max="3" width="11.42578125" style="1374"/>
    <col min="4" max="4" width="17.140625" style="1374" customWidth="1"/>
    <col min="5" max="16384" width="11.42578125" style="1374"/>
  </cols>
  <sheetData>
    <row r="1" spans="1:13">
      <c r="A1" s="1375"/>
      <c r="B1" s="1375"/>
      <c r="C1" s="1375"/>
      <c r="D1" s="1375"/>
      <c r="E1" s="1375"/>
      <c r="F1" s="1375"/>
      <c r="G1" s="1375"/>
      <c r="H1" s="1375"/>
      <c r="I1" s="1375"/>
      <c r="J1" s="1375"/>
      <c r="K1" s="1375"/>
      <c r="L1" s="1375"/>
      <c r="M1" s="1375"/>
    </row>
    <row r="2" spans="1:13">
      <c r="A2" s="1375"/>
      <c r="B2" s="1375"/>
      <c r="C2" s="1375"/>
      <c r="D2" s="1375"/>
      <c r="E2" s="1375"/>
      <c r="F2" s="1375"/>
      <c r="G2" s="1375"/>
      <c r="H2" s="1375"/>
      <c r="I2" s="1375"/>
      <c r="J2" s="1375"/>
      <c r="K2" s="1375"/>
      <c r="L2" s="1375"/>
      <c r="M2" s="1375"/>
    </row>
    <row r="3" spans="1:13">
      <c r="A3" s="1375"/>
      <c r="B3" s="1598" t="s">
        <v>4501</v>
      </c>
      <c r="C3" s="1375"/>
      <c r="D3" s="1375"/>
      <c r="E3" s="1375"/>
      <c r="F3" s="1375"/>
      <c r="G3" s="1375"/>
      <c r="H3" s="1375"/>
      <c r="I3" s="1375"/>
      <c r="J3" s="1375"/>
      <c r="K3" s="1375"/>
      <c r="L3" s="1375"/>
      <c r="M3" s="1375"/>
    </row>
    <row r="4" spans="1:13">
      <c r="A4" s="1375"/>
      <c r="B4" s="1375" t="s">
        <v>3950</v>
      </c>
      <c r="C4" s="1375"/>
      <c r="D4" s="1375"/>
      <c r="E4" s="1375"/>
      <c r="F4" s="1375"/>
      <c r="G4" s="1375"/>
      <c r="H4" s="1375"/>
      <c r="I4" s="1375"/>
      <c r="J4" s="1375"/>
      <c r="K4" s="1375"/>
      <c r="L4" s="1375"/>
      <c r="M4" s="1375"/>
    </row>
    <row r="5" spans="1:13">
      <c r="A5" s="1375"/>
      <c r="B5" s="1375"/>
      <c r="C5" s="1375"/>
      <c r="D5" s="1375"/>
      <c r="E5" s="1375"/>
      <c r="F5" s="1375"/>
      <c r="G5" s="1375"/>
      <c r="H5" s="1375"/>
      <c r="I5" s="1375"/>
      <c r="J5" s="1375"/>
      <c r="K5" s="1375"/>
      <c r="L5" s="1375"/>
      <c r="M5" s="1375"/>
    </row>
    <row r="6" spans="1:13">
      <c r="A6" s="1375"/>
      <c r="B6" s="1375"/>
      <c r="C6" s="1375"/>
      <c r="D6" s="1375"/>
      <c r="E6" s="1375"/>
      <c r="F6" s="1375"/>
      <c r="G6" s="1375"/>
      <c r="H6" s="1375"/>
      <c r="I6" s="1375"/>
      <c r="J6" s="1375"/>
      <c r="K6" s="1375"/>
      <c r="L6" s="1375"/>
      <c r="M6" s="1375"/>
    </row>
    <row r="7" spans="1:13">
      <c r="A7" s="1375"/>
      <c r="B7" s="1375"/>
      <c r="C7" s="1375"/>
      <c r="D7" s="1375"/>
      <c r="E7" s="1375"/>
      <c r="F7" s="1375"/>
      <c r="G7" s="1375"/>
      <c r="H7" s="1375"/>
      <c r="I7" s="1375"/>
      <c r="J7" s="1375"/>
      <c r="K7" s="1375"/>
      <c r="L7" s="1375"/>
      <c r="M7" s="1375"/>
    </row>
    <row r="8" spans="1:13">
      <c r="A8" s="1375"/>
      <c r="B8" s="1375"/>
      <c r="C8" s="1375"/>
      <c r="D8" s="1375"/>
      <c r="E8" s="1375"/>
      <c r="F8" s="1375"/>
      <c r="G8" s="1375"/>
      <c r="H8" s="1375"/>
      <c r="I8" s="1375"/>
      <c r="J8" s="1375"/>
      <c r="K8" s="1375"/>
      <c r="L8" s="1375"/>
      <c r="M8" s="1375"/>
    </row>
    <row r="9" spans="1:13">
      <c r="A9" s="1375"/>
      <c r="B9" s="1375" t="s">
        <v>3951</v>
      </c>
      <c r="C9" s="1597">
        <v>30</v>
      </c>
      <c r="D9" s="1375" t="s">
        <v>3952</v>
      </c>
      <c r="E9" s="1375"/>
      <c r="F9" s="1375"/>
      <c r="G9" s="1375"/>
      <c r="H9" s="1375"/>
      <c r="I9" s="1375"/>
      <c r="J9" s="1375"/>
      <c r="K9" s="1375"/>
      <c r="L9" s="1375"/>
      <c r="M9" s="1375"/>
    </row>
    <row r="10" spans="1:13">
      <c r="A10" s="1375"/>
      <c r="B10" s="1375" t="s">
        <v>3953</v>
      </c>
      <c r="C10" s="1597">
        <v>3</v>
      </c>
      <c r="D10" s="1375" t="s">
        <v>3952</v>
      </c>
      <c r="E10" s="1375"/>
      <c r="F10" s="1375"/>
      <c r="G10" s="1375"/>
      <c r="H10" s="1375"/>
      <c r="I10" s="1375"/>
      <c r="J10" s="1375"/>
      <c r="K10" s="1375"/>
      <c r="L10" s="1375"/>
      <c r="M10" s="1375"/>
    </row>
    <row r="11" spans="1:13">
      <c r="A11" s="1375"/>
      <c r="B11" s="1375" t="s">
        <v>3954</v>
      </c>
      <c r="C11" s="1597">
        <v>60</v>
      </c>
      <c r="D11" s="1375"/>
      <c r="E11" s="1375"/>
      <c r="F11" s="1375"/>
      <c r="G11" s="1375"/>
      <c r="H11" s="1375"/>
      <c r="I11" s="1375"/>
      <c r="J11" s="1375"/>
      <c r="K11" s="1375"/>
      <c r="L11" s="1375"/>
      <c r="M11" s="1375"/>
    </row>
    <row r="12" spans="1:13">
      <c r="A12" s="1375"/>
      <c r="B12" s="1375" t="s">
        <v>3955</v>
      </c>
      <c r="C12" s="1597">
        <v>25</v>
      </c>
      <c r="D12" s="1375"/>
      <c r="E12" s="1375"/>
      <c r="F12" s="1375"/>
      <c r="G12" s="1375"/>
      <c r="H12" s="1375"/>
      <c r="I12" s="1375"/>
      <c r="J12" s="1375"/>
      <c r="K12" s="1375"/>
      <c r="L12" s="1375"/>
      <c r="M12" s="1375"/>
    </row>
    <row r="13" spans="1:13">
      <c r="A13" s="1375"/>
      <c r="B13" s="1375"/>
      <c r="C13" s="1375"/>
      <c r="D13" s="1375"/>
      <c r="E13" s="1375"/>
      <c r="F13" s="1375"/>
      <c r="G13" s="1375"/>
      <c r="H13" s="1375"/>
      <c r="I13" s="1375"/>
      <c r="J13" s="1375"/>
      <c r="K13" s="1375"/>
      <c r="L13" s="1375"/>
      <c r="M13" s="1375"/>
    </row>
    <row r="14" spans="1:13">
      <c r="A14" s="1375"/>
      <c r="B14" s="1375" t="s">
        <v>3956</v>
      </c>
      <c r="C14" s="1375">
        <f>C9*C11</f>
        <v>1800</v>
      </c>
      <c r="D14" s="1375"/>
      <c r="E14" s="1375"/>
      <c r="F14" s="1375"/>
      <c r="G14" s="1375"/>
      <c r="H14" s="1375"/>
      <c r="I14" s="1375"/>
      <c r="J14" s="1375"/>
      <c r="K14" s="1375"/>
      <c r="L14" s="1375"/>
      <c r="M14" s="1375"/>
    </row>
    <row r="15" spans="1:13">
      <c r="A15" s="1375"/>
      <c r="B15" s="1375" t="s">
        <v>3957</v>
      </c>
      <c r="C15" s="1375">
        <f>C10*C11</f>
        <v>180</v>
      </c>
      <c r="D15" s="1375" t="s">
        <v>853</v>
      </c>
      <c r="E15" s="1375"/>
      <c r="F15" s="1375"/>
      <c r="G15" s="1375"/>
      <c r="H15" s="1375"/>
      <c r="I15" s="1375"/>
      <c r="J15" s="1375"/>
      <c r="K15" s="1375"/>
      <c r="L15" s="1375"/>
      <c r="M15" s="1375"/>
    </row>
    <row r="16" spans="1:13">
      <c r="A16" s="1375"/>
      <c r="B16" s="1375"/>
      <c r="C16" s="1375"/>
      <c r="D16" s="1375"/>
      <c r="E16" s="1375"/>
      <c r="F16" s="1375"/>
      <c r="G16" s="1375"/>
      <c r="H16" s="1375"/>
      <c r="I16" s="1375"/>
      <c r="J16" s="1375"/>
      <c r="K16" s="1375"/>
      <c r="L16" s="1375"/>
      <c r="M16" s="1375"/>
    </row>
    <row r="17" spans="1:13">
      <c r="A17" s="1375"/>
      <c r="B17" s="1375" t="s">
        <v>3958</v>
      </c>
      <c r="C17" s="1375">
        <f>C9*C11*C12</f>
        <v>45000</v>
      </c>
      <c r="D17" s="1375"/>
      <c r="E17" s="1375"/>
      <c r="F17" s="1375"/>
      <c r="G17" s="1375"/>
      <c r="H17" s="1375"/>
      <c r="I17" s="1375"/>
      <c r="J17" s="1375"/>
      <c r="K17" s="1375"/>
      <c r="L17" s="1375"/>
      <c r="M17" s="1375"/>
    </row>
    <row r="18" spans="1:13">
      <c r="A18" s="1375"/>
      <c r="B18" s="1375" t="s">
        <v>3959</v>
      </c>
      <c r="C18" s="1376">
        <f>C10*C11*C12</f>
        <v>4500</v>
      </c>
      <c r="D18" s="1375" t="s">
        <v>3960</v>
      </c>
      <c r="E18" s="1375"/>
      <c r="F18" s="1375"/>
      <c r="G18" s="1375" t="s">
        <v>3961</v>
      </c>
      <c r="H18" s="1375"/>
      <c r="I18" s="1375"/>
      <c r="J18" s="1375"/>
      <c r="K18" s="1375"/>
      <c r="L18" s="1375"/>
      <c r="M18" s="1375"/>
    </row>
    <row r="19" spans="1:13">
      <c r="A19" s="1375"/>
      <c r="B19" s="1375"/>
      <c r="C19" s="1375"/>
      <c r="D19" s="1375"/>
      <c r="E19" s="1375"/>
      <c r="F19" s="1375"/>
      <c r="G19" s="1375"/>
      <c r="H19" s="1375"/>
      <c r="I19" s="1375"/>
      <c r="J19" s="1375"/>
      <c r="K19" s="1375"/>
      <c r="L19" s="1375"/>
      <c r="M19" s="1375"/>
    </row>
    <row r="20" spans="1:13">
      <c r="A20" s="1375"/>
      <c r="B20" s="1375" t="s">
        <v>3962</v>
      </c>
      <c r="C20" s="1377">
        <f>C18/C17</f>
        <v>0.1</v>
      </c>
      <c r="D20" s="1375" t="str">
        <f>"entspricht 1/" &amp; ROUND(1/C20,2)</f>
        <v>entspricht 1/10</v>
      </c>
      <c r="E20" s="1375"/>
      <c r="F20" s="1375"/>
      <c r="G20" s="1375" t="s">
        <v>3963</v>
      </c>
      <c r="H20" s="1375"/>
      <c r="I20" s="1375"/>
      <c r="J20" s="1375"/>
      <c r="K20" s="1375"/>
      <c r="L20" s="1375"/>
      <c r="M20" s="1375"/>
    </row>
    <row r="21" spans="1:13">
      <c r="A21" s="1375"/>
      <c r="B21" s="1375"/>
      <c r="C21" s="1375"/>
      <c r="D21" s="1375"/>
      <c r="E21" s="1375"/>
      <c r="F21" s="1375"/>
      <c r="G21" s="1375"/>
      <c r="H21" s="1375"/>
      <c r="I21" s="1375"/>
      <c r="J21" s="1375"/>
      <c r="K21" s="1375"/>
      <c r="L21" s="1375"/>
      <c r="M21" s="1375"/>
    </row>
    <row r="22" spans="1:13">
      <c r="A22" s="1375"/>
      <c r="B22" s="1375" t="s">
        <v>3964</v>
      </c>
      <c r="C22" s="1377">
        <f>C12*C20</f>
        <v>2.5</v>
      </c>
      <c r="D22" s="1375" t="s">
        <v>3965</v>
      </c>
      <c r="E22" s="1375"/>
      <c r="F22" s="1375"/>
      <c r="G22" s="1375"/>
      <c r="H22" s="1375"/>
      <c r="I22" s="1375"/>
      <c r="J22" s="1375"/>
      <c r="K22" s="1375"/>
      <c r="L22" s="1375"/>
      <c r="M22" s="1375"/>
    </row>
    <row r="23" spans="1:13">
      <c r="A23" s="1375"/>
      <c r="B23" s="1375" t="s">
        <v>3964</v>
      </c>
      <c r="C23" s="1377">
        <f>C22*C11</f>
        <v>150</v>
      </c>
      <c r="D23" s="1375" t="s">
        <v>3966</v>
      </c>
      <c r="E23" s="1375"/>
      <c r="F23" s="1375"/>
      <c r="G23" s="1375"/>
      <c r="H23" s="1375"/>
      <c r="I23" s="1375"/>
      <c r="J23" s="1375"/>
      <c r="K23" s="1375"/>
      <c r="L23" s="1375"/>
      <c r="M23" s="1375"/>
    </row>
    <row r="24" spans="1:13">
      <c r="A24" s="1375"/>
      <c r="B24" s="1375" t="s">
        <v>3964</v>
      </c>
      <c r="C24" s="1377">
        <f>C23*C11</f>
        <v>9000</v>
      </c>
      <c r="D24" s="1375" t="s">
        <v>3967</v>
      </c>
      <c r="E24" s="1375"/>
      <c r="F24" s="1375"/>
      <c r="G24" s="1375"/>
      <c r="H24" s="1375"/>
      <c r="I24" s="1375"/>
      <c r="J24" s="1375"/>
      <c r="K24" s="1375"/>
      <c r="L24" s="1375"/>
      <c r="M24" s="1375"/>
    </row>
    <row r="25" spans="1:13">
      <c r="A25" s="1375"/>
      <c r="B25" s="1375"/>
      <c r="C25" s="1377"/>
      <c r="D25" s="1375"/>
      <c r="E25" s="1375"/>
      <c r="F25" s="1375"/>
      <c r="G25" s="1375"/>
      <c r="H25" s="1375"/>
      <c r="I25" s="1375"/>
      <c r="J25" s="1375"/>
      <c r="K25" s="1375"/>
      <c r="L25" s="1375"/>
      <c r="M25" s="1375"/>
    </row>
    <row r="26" spans="1:13">
      <c r="A26" s="1375"/>
      <c r="B26" s="1375" t="s">
        <v>3968</v>
      </c>
      <c r="C26" s="1378">
        <f>1/C22</f>
        <v>0.4</v>
      </c>
      <c r="D26" s="1375" t="s">
        <v>853</v>
      </c>
      <c r="E26" s="1375"/>
      <c r="F26" s="1379"/>
      <c r="G26" s="1375" t="s">
        <v>3969</v>
      </c>
      <c r="H26" s="1375"/>
      <c r="I26" s="1375"/>
      <c r="J26" s="1375"/>
      <c r="K26" s="1375"/>
      <c r="L26" s="1375"/>
      <c r="M26" s="1375"/>
    </row>
    <row r="27" spans="1:13">
      <c r="A27" s="1375"/>
      <c r="B27" s="1375"/>
      <c r="C27" s="1375"/>
      <c r="D27" s="1375"/>
      <c r="E27" s="1375"/>
      <c r="F27" s="1375"/>
      <c r="G27" s="1375"/>
      <c r="H27" s="1375"/>
      <c r="I27" s="1375"/>
      <c r="J27" s="1375"/>
      <c r="K27" s="1375"/>
      <c r="L27" s="1375"/>
      <c r="M27" s="1375"/>
    </row>
    <row r="28" spans="1:13">
      <c r="A28" s="1375"/>
      <c r="B28" s="1375"/>
      <c r="C28" s="1375"/>
      <c r="D28" s="1375"/>
      <c r="E28" s="1375"/>
      <c r="F28" s="1375"/>
      <c r="G28" s="1375"/>
      <c r="H28" s="1375"/>
      <c r="I28" s="1375"/>
      <c r="J28" s="1375"/>
      <c r="K28" s="1375"/>
      <c r="L28" s="1375"/>
      <c r="M28" s="1375"/>
    </row>
    <row r="29" spans="1:13">
      <c r="A29" s="1375"/>
      <c r="B29" s="1375"/>
      <c r="C29" s="1375"/>
      <c r="D29" s="1375"/>
      <c r="E29" s="1375"/>
      <c r="F29" s="1375"/>
      <c r="G29" s="1375"/>
      <c r="H29" s="1375"/>
      <c r="I29" s="1375"/>
      <c r="J29" s="1375"/>
      <c r="K29" s="1375"/>
      <c r="L29" s="1375"/>
      <c r="M29" s="1375"/>
    </row>
    <row r="30" spans="1:13">
      <c r="A30" s="1375"/>
      <c r="B30" s="1375"/>
      <c r="C30" s="1375"/>
      <c r="D30" s="1375"/>
      <c r="E30" s="1375"/>
      <c r="F30" s="1375"/>
      <c r="G30" s="1375"/>
      <c r="H30" s="1375"/>
      <c r="I30" s="1375"/>
      <c r="J30" s="1375"/>
      <c r="K30" s="1375"/>
      <c r="L30" s="1375"/>
      <c r="M30" s="1375"/>
    </row>
    <row r="31" spans="1:13">
      <c r="A31" s="1375"/>
      <c r="B31" s="1375"/>
      <c r="C31" s="1375"/>
      <c r="D31" s="1375"/>
      <c r="E31" s="1375"/>
      <c r="F31" s="1375"/>
      <c r="G31" s="1375"/>
      <c r="H31" s="1375"/>
      <c r="I31" s="1375"/>
      <c r="J31" s="1375"/>
      <c r="K31" s="1375"/>
      <c r="L31" s="1375"/>
      <c r="M31" s="1375"/>
    </row>
  </sheetData>
  <pageMargins left="0.7" right="0.7" top="0.78740157499999996" bottom="0.78740157499999996"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9"/>
  <sheetViews>
    <sheetView workbookViewId="0">
      <selection activeCell="N32" sqref="N32"/>
    </sheetView>
  </sheetViews>
  <sheetFormatPr baseColWidth="10" defaultRowHeight="12.75"/>
  <cols>
    <col min="1" max="1" width="11.42578125" style="831"/>
    <col min="2" max="2" width="29.28515625" style="831" customWidth="1"/>
    <col min="3" max="4" width="11.42578125" style="831"/>
    <col min="5" max="5" width="8.140625" style="831" bestFit="1" customWidth="1"/>
    <col min="6" max="6" width="11.42578125" style="831"/>
    <col min="7" max="7" width="15" style="831" customWidth="1"/>
    <col min="8" max="257" width="11.42578125" style="831"/>
    <col min="258" max="258" width="29.28515625" style="831" customWidth="1"/>
    <col min="259" max="260" width="11.42578125" style="831"/>
    <col min="261" max="261" width="8.140625" style="831" bestFit="1" customWidth="1"/>
    <col min="262" max="262" width="11.42578125" style="831"/>
    <col min="263" max="263" width="15" style="831" customWidth="1"/>
    <col min="264" max="513" width="11.42578125" style="831"/>
    <col min="514" max="514" width="29.28515625" style="831" customWidth="1"/>
    <col min="515" max="516" width="11.42578125" style="831"/>
    <col min="517" max="517" width="8.140625" style="831" bestFit="1" customWidth="1"/>
    <col min="518" max="518" width="11.42578125" style="831"/>
    <col min="519" max="519" width="15" style="831" customWidth="1"/>
    <col min="520" max="769" width="11.42578125" style="831"/>
    <col min="770" max="770" width="29.28515625" style="831" customWidth="1"/>
    <col min="771" max="772" width="11.42578125" style="831"/>
    <col min="773" max="773" width="8.140625" style="831" bestFit="1" customWidth="1"/>
    <col min="774" max="774" width="11.42578125" style="831"/>
    <col min="775" max="775" width="15" style="831" customWidth="1"/>
    <col min="776" max="1025" width="11.42578125" style="831"/>
    <col min="1026" max="1026" width="29.28515625" style="831" customWidth="1"/>
    <col min="1027" max="1028" width="11.42578125" style="831"/>
    <col min="1029" max="1029" width="8.140625" style="831" bestFit="1" customWidth="1"/>
    <col min="1030" max="1030" width="11.42578125" style="831"/>
    <col min="1031" max="1031" width="15" style="831" customWidth="1"/>
    <col min="1032" max="1281" width="11.42578125" style="831"/>
    <col min="1282" max="1282" width="29.28515625" style="831" customWidth="1"/>
    <col min="1283" max="1284" width="11.42578125" style="831"/>
    <col min="1285" max="1285" width="8.140625" style="831" bestFit="1" customWidth="1"/>
    <col min="1286" max="1286" width="11.42578125" style="831"/>
    <col min="1287" max="1287" width="15" style="831" customWidth="1"/>
    <col min="1288" max="1537" width="11.42578125" style="831"/>
    <col min="1538" max="1538" width="29.28515625" style="831" customWidth="1"/>
    <col min="1539" max="1540" width="11.42578125" style="831"/>
    <col min="1541" max="1541" width="8.140625" style="831" bestFit="1" customWidth="1"/>
    <col min="1542" max="1542" width="11.42578125" style="831"/>
    <col min="1543" max="1543" width="15" style="831" customWidth="1"/>
    <col min="1544" max="1793" width="11.42578125" style="831"/>
    <col min="1794" max="1794" width="29.28515625" style="831" customWidth="1"/>
    <col min="1795" max="1796" width="11.42578125" style="831"/>
    <col min="1797" max="1797" width="8.140625" style="831" bestFit="1" customWidth="1"/>
    <col min="1798" max="1798" width="11.42578125" style="831"/>
    <col min="1799" max="1799" width="15" style="831" customWidth="1"/>
    <col min="1800" max="2049" width="11.42578125" style="831"/>
    <col min="2050" max="2050" width="29.28515625" style="831" customWidth="1"/>
    <col min="2051" max="2052" width="11.42578125" style="831"/>
    <col min="2053" max="2053" width="8.140625" style="831" bestFit="1" customWidth="1"/>
    <col min="2054" max="2054" width="11.42578125" style="831"/>
    <col min="2055" max="2055" width="15" style="831" customWidth="1"/>
    <col min="2056" max="2305" width="11.42578125" style="831"/>
    <col min="2306" max="2306" width="29.28515625" style="831" customWidth="1"/>
    <col min="2307" max="2308" width="11.42578125" style="831"/>
    <col min="2309" max="2309" width="8.140625" style="831" bestFit="1" customWidth="1"/>
    <col min="2310" max="2310" width="11.42578125" style="831"/>
    <col min="2311" max="2311" width="15" style="831" customWidth="1"/>
    <col min="2312" max="2561" width="11.42578125" style="831"/>
    <col min="2562" max="2562" width="29.28515625" style="831" customWidth="1"/>
    <col min="2563" max="2564" width="11.42578125" style="831"/>
    <col min="2565" max="2565" width="8.140625" style="831" bestFit="1" customWidth="1"/>
    <col min="2566" max="2566" width="11.42578125" style="831"/>
    <col min="2567" max="2567" width="15" style="831" customWidth="1"/>
    <col min="2568" max="2817" width="11.42578125" style="831"/>
    <col min="2818" max="2818" width="29.28515625" style="831" customWidth="1"/>
    <col min="2819" max="2820" width="11.42578125" style="831"/>
    <col min="2821" max="2821" width="8.140625" style="831" bestFit="1" customWidth="1"/>
    <col min="2822" max="2822" width="11.42578125" style="831"/>
    <col min="2823" max="2823" width="15" style="831" customWidth="1"/>
    <col min="2824" max="3073" width="11.42578125" style="831"/>
    <col min="3074" max="3074" width="29.28515625" style="831" customWidth="1"/>
    <col min="3075" max="3076" width="11.42578125" style="831"/>
    <col min="3077" max="3077" width="8.140625" style="831" bestFit="1" customWidth="1"/>
    <col min="3078" max="3078" width="11.42578125" style="831"/>
    <col min="3079" max="3079" width="15" style="831" customWidth="1"/>
    <col min="3080" max="3329" width="11.42578125" style="831"/>
    <col min="3330" max="3330" width="29.28515625" style="831" customWidth="1"/>
    <col min="3331" max="3332" width="11.42578125" style="831"/>
    <col min="3333" max="3333" width="8.140625" style="831" bestFit="1" customWidth="1"/>
    <col min="3334" max="3334" width="11.42578125" style="831"/>
    <col min="3335" max="3335" width="15" style="831" customWidth="1"/>
    <col min="3336" max="3585" width="11.42578125" style="831"/>
    <col min="3586" max="3586" width="29.28515625" style="831" customWidth="1"/>
    <col min="3587" max="3588" width="11.42578125" style="831"/>
    <col min="3589" max="3589" width="8.140625" style="831" bestFit="1" customWidth="1"/>
    <col min="3590" max="3590" width="11.42578125" style="831"/>
    <col min="3591" max="3591" width="15" style="831" customWidth="1"/>
    <col min="3592" max="3841" width="11.42578125" style="831"/>
    <col min="3842" max="3842" width="29.28515625" style="831" customWidth="1"/>
    <col min="3843" max="3844" width="11.42578125" style="831"/>
    <col min="3845" max="3845" width="8.140625" style="831" bestFit="1" customWidth="1"/>
    <col min="3846" max="3846" width="11.42578125" style="831"/>
    <col min="3847" max="3847" width="15" style="831" customWidth="1"/>
    <col min="3848" max="4097" width="11.42578125" style="831"/>
    <col min="4098" max="4098" width="29.28515625" style="831" customWidth="1"/>
    <col min="4099" max="4100" width="11.42578125" style="831"/>
    <col min="4101" max="4101" width="8.140625" style="831" bestFit="1" customWidth="1"/>
    <col min="4102" max="4102" width="11.42578125" style="831"/>
    <col min="4103" max="4103" width="15" style="831" customWidth="1"/>
    <col min="4104" max="4353" width="11.42578125" style="831"/>
    <col min="4354" max="4354" width="29.28515625" style="831" customWidth="1"/>
    <col min="4355" max="4356" width="11.42578125" style="831"/>
    <col min="4357" max="4357" width="8.140625" style="831" bestFit="1" customWidth="1"/>
    <col min="4358" max="4358" width="11.42578125" style="831"/>
    <col min="4359" max="4359" width="15" style="831" customWidth="1"/>
    <col min="4360" max="4609" width="11.42578125" style="831"/>
    <col min="4610" max="4610" width="29.28515625" style="831" customWidth="1"/>
    <col min="4611" max="4612" width="11.42578125" style="831"/>
    <col min="4613" max="4613" width="8.140625" style="831" bestFit="1" customWidth="1"/>
    <col min="4614" max="4614" width="11.42578125" style="831"/>
    <col min="4615" max="4615" width="15" style="831" customWidth="1"/>
    <col min="4616" max="4865" width="11.42578125" style="831"/>
    <col min="4866" max="4866" width="29.28515625" style="831" customWidth="1"/>
    <col min="4867" max="4868" width="11.42578125" style="831"/>
    <col min="4869" max="4869" width="8.140625" style="831" bestFit="1" customWidth="1"/>
    <col min="4870" max="4870" width="11.42578125" style="831"/>
    <col min="4871" max="4871" width="15" style="831" customWidth="1"/>
    <col min="4872" max="5121" width="11.42578125" style="831"/>
    <col min="5122" max="5122" width="29.28515625" style="831" customWidth="1"/>
    <col min="5123" max="5124" width="11.42578125" style="831"/>
    <col min="5125" max="5125" width="8.140625" style="831" bestFit="1" customWidth="1"/>
    <col min="5126" max="5126" width="11.42578125" style="831"/>
    <col min="5127" max="5127" width="15" style="831" customWidth="1"/>
    <col min="5128" max="5377" width="11.42578125" style="831"/>
    <col min="5378" max="5378" width="29.28515625" style="831" customWidth="1"/>
    <col min="5379" max="5380" width="11.42578125" style="831"/>
    <col min="5381" max="5381" width="8.140625" style="831" bestFit="1" customWidth="1"/>
    <col min="5382" max="5382" width="11.42578125" style="831"/>
    <col min="5383" max="5383" width="15" style="831" customWidth="1"/>
    <col min="5384" max="5633" width="11.42578125" style="831"/>
    <col min="5634" max="5634" width="29.28515625" style="831" customWidth="1"/>
    <col min="5635" max="5636" width="11.42578125" style="831"/>
    <col min="5637" max="5637" width="8.140625" style="831" bestFit="1" customWidth="1"/>
    <col min="5638" max="5638" width="11.42578125" style="831"/>
    <col min="5639" max="5639" width="15" style="831" customWidth="1"/>
    <col min="5640" max="5889" width="11.42578125" style="831"/>
    <col min="5890" max="5890" width="29.28515625" style="831" customWidth="1"/>
    <col min="5891" max="5892" width="11.42578125" style="831"/>
    <col min="5893" max="5893" width="8.140625" style="831" bestFit="1" customWidth="1"/>
    <col min="5894" max="5894" width="11.42578125" style="831"/>
    <col min="5895" max="5895" width="15" style="831" customWidth="1"/>
    <col min="5896" max="6145" width="11.42578125" style="831"/>
    <col min="6146" max="6146" width="29.28515625" style="831" customWidth="1"/>
    <col min="6147" max="6148" width="11.42578125" style="831"/>
    <col min="6149" max="6149" width="8.140625" style="831" bestFit="1" customWidth="1"/>
    <col min="6150" max="6150" width="11.42578125" style="831"/>
    <col min="6151" max="6151" width="15" style="831" customWidth="1"/>
    <col min="6152" max="6401" width="11.42578125" style="831"/>
    <col min="6402" max="6402" width="29.28515625" style="831" customWidth="1"/>
    <col min="6403" max="6404" width="11.42578125" style="831"/>
    <col min="6405" max="6405" width="8.140625" style="831" bestFit="1" customWidth="1"/>
    <col min="6406" max="6406" width="11.42578125" style="831"/>
    <col min="6407" max="6407" width="15" style="831" customWidth="1"/>
    <col min="6408" max="6657" width="11.42578125" style="831"/>
    <col min="6658" max="6658" width="29.28515625" style="831" customWidth="1"/>
    <col min="6659" max="6660" width="11.42578125" style="831"/>
    <col min="6661" max="6661" width="8.140625" style="831" bestFit="1" customWidth="1"/>
    <col min="6662" max="6662" width="11.42578125" style="831"/>
    <col min="6663" max="6663" width="15" style="831" customWidth="1"/>
    <col min="6664" max="6913" width="11.42578125" style="831"/>
    <col min="6914" max="6914" width="29.28515625" style="831" customWidth="1"/>
    <col min="6915" max="6916" width="11.42578125" style="831"/>
    <col min="6917" max="6917" width="8.140625" style="831" bestFit="1" customWidth="1"/>
    <col min="6918" max="6918" width="11.42578125" style="831"/>
    <col min="6919" max="6919" width="15" style="831" customWidth="1"/>
    <col min="6920" max="7169" width="11.42578125" style="831"/>
    <col min="7170" max="7170" width="29.28515625" style="831" customWidth="1"/>
    <col min="7171" max="7172" width="11.42578125" style="831"/>
    <col min="7173" max="7173" width="8.140625" style="831" bestFit="1" customWidth="1"/>
    <col min="7174" max="7174" width="11.42578125" style="831"/>
    <col min="7175" max="7175" width="15" style="831" customWidth="1"/>
    <col min="7176" max="7425" width="11.42578125" style="831"/>
    <col min="7426" max="7426" width="29.28515625" style="831" customWidth="1"/>
    <col min="7427" max="7428" width="11.42578125" style="831"/>
    <col min="7429" max="7429" width="8.140625" style="831" bestFit="1" customWidth="1"/>
    <col min="7430" max="7430" width="11.42578125" style="831"/>
    <col min="7431" max="7431" width="15" style="831" customWidth="1"/>
    <col min="7432" max="7681" width="11.42578125" style="831"/>
    <col min="7682" max="7682" width="29.28515625" style="831" customWidth="1"/>
    <col min="7683" max="7684" width="11.42578125" style="831"/>
    <col min="7685" max="7685" width="8.140625" style="831" bestFit="1" customWidth="1"/>
    <col min="7686" max="7686" width="11.42578125" style="831"/>
    <col min="7687" max="7687" width="15" style="831" customWidth="1"/>
    <col min="7688" max="7937" width="11.42578125" style="831"/>
    <col min="7938" max="7938" width="29.28515625" style="831" customWidth="1"/>
    <col min="7939" max="7940" width="11.42578125" style="831"/>
    <col min="7941" max="7941" width="8.140625" style="831" bestFit="1" customWidth="1"/>
    <col min="7942" max="7942" width="11.42578125" style="831"/>
    <col min="7943" max="7943" width="15" style="831" customWidth="1"/>
    <col min="7944" max="8193" width="11.42578125" style="831"/>
    <col min="8194" max="8194" width="29.28515625" style="831" customWidth="1"/>
    <col min="8195" max="8196" width="11.42578125" style="831"/>
    <col min="8197" max="8197" width="8.140625" style="831" bestFit="1" customWidth="1"/>
    <col min="8198" max="8198" width="11.42578125" style="831"/>
    <col min="8199" max="8199" width="15" style="831" customWidth="1"/>
    <col min="8200" max="8449" width="11.42578125" style="831"/>
    <col min="8450" max="8450" width="29.28515625" style="831" customWidth="1"/>
    <col min="8451" max="8452" width="11.42578125" style="831"/>
    <col min="8453" max="8453" width="8.140625" style="831" bestFit="1" customWidth="1"/>
    <col min="8454" max="8454" width="11.42578125" style="831"/>
    <col min="8455" max="8455" width="15" style="831" customWidth="1"/>
    <col min="8456" max="8705" width="11.42578125" style="831"/>
    <col min="8706" max="8706" width="29.28515625" style="831" customWidth="1"/>
    <col min="8707" max="8708" width="11.42578125" style="831"/>
    <col min="8709" max="8709" width="8.140625" style="831" bestFit="1" customWidth="1"/>
    <col min="8710" max="8710" width="11.42578125" style="831"/>
    <col min="8711" max="8711" width="15" style="831" customWidth="1"/>
    <col min="8712" max="8961" width="11.42578125" style="831"/>
    <col min="8962" max="8962" width="29.28515625" style="831" customWidth="1"/>
    <col min="8963" max="8964" width="11.42578125" style="831"/>
    <col min="8965" max="8965" width="8.140625" style="831" bestFit="1" customWidth="1"/>
    <col min="8966" max="8966" width="11.42578125" style="831"/>
    <col min="8967" max="8967" width="15" style="831" customWidth="1"/>
    <col min="8968" max="9217" width="11.42578125" style="831"/>
    <col min="9218" max="9218" width="29.28515625" style="831" customWidth="1"/>
    <col min="9219" max="9220" width="11.42578125" style="831"/>
    <col min="9221" max="9221" width="8.140625" style="831" bestFit="1" customWidth="1"/>
    <col min="9222" max="9222" width="11.42578125" style="831"/>
    <col min="9223" max="9223" width="15" style="831" customWidth="1"/>
    <col min="9224" max="9473" width="11.42578125" style="831"/>
    <col min="9474" max="9474" width="29.28515625" style="831" customWidth="1"/>
    <col min="9475" max="9476" width="11.42578125" style="831"/>
    <col min="9477" max="9477" width="8.140625" style="831" bestFit="1" customWidth="1"/>
    <col min="9478" max="9478" width="11.42578125" style="831"/>
    <col min="9479" max="9479" width="15" style="831" customWidth="1"/>
    <col min="9480" max="9729" width="11.42578125" style="831"/>
    <col min="9730" max="9730" width="29.28515625" style="831" customWidth="1"/>
    <col min="9731" max="9732" width="11.42578125" style="831"/>
    <col min="9733" max="9733" width="8.140625" style="831" bestFit="1" customWidth="1"/>
    <col min="9734" max="9734" width="11.42578125" style="831"/>
    <col min="9735" max="9735" width="15" style="831" customWidth="1"/>
    <col min="9736" max="9985" width="11.42578125" style="831"/>
    <col min="9986" max="9986" width="29.28515625" style="831" customWidth="1"/>
    <col min="9987" max="9988" width="11.42578125" style="831"/>
    <col min="9989" max="9989" width="8.140625" style="831" bestFit="1" customWidth="1"/>
    <col min="9990" max="9990" width="11.42578125" style="831"/>
    <col min="9991" max="9991" width="15" style="831" customWidth="1"/>
    <col min="9992" max="10241" width="11.42578125" style="831"/>
    <col min="10242" max="10242" width="29.28515625" style="831" customWidth="1"/>
    <col min="10243" max="10244" width="11.42578125" style="831"/>
    <col min="10245" max="10245" width="8.140625" style="831" bestFit="1" customWidth="1"/>
    <col min="10246" max="10246" width="11.42578125" style="831"/>
    <col min="10247" max="10247" width="15" style="831" customWidth="1"/>
    <col min="10248" max="10497" width="11.42578125" style="831"/>
    <col min="10498" max="10498" width="29.28515625" style="831" customWidth="1"/>
    <col min="10499" max="10500" width="11.42578125" style="831"/>
    <col min="10501" max="10501" width="8.140625" style="831" bestFit="1" customWidth="1"/>
    <col min="10502" max="10502" width="11.42578125" style="831"/>
    <col min="10503" max="10503" width="15" style="831" customWidth="1"/>
    <col min="10504" max="10753" width="11.42578125" style="831"/>
    <col min="10754" max="10754" width="29.28515625" style="831" customWidth="1"/>
    <col min="10755" max="10756" width="11.42578125" style="831"/>
    <col min="10757" max="10757" width="8.140625" style="831" bestFit="1" customWidth="1"/>
    <col min="10758" max="10758" width="11.42578125" style="831"/>
    <col min="10759" max="10759" width="15" style="831" customWidth="1"/>
    <col min="10760" max="11009" width="11.42578125" style="831"/>
    <col min="11010" max="11010" width="29.28515625" style="831" customWidth="1"/>
    <col min="11011" max="11012" width="11.42578125" style="831"/>
    <col min="11013" max="11013" width="8.140625" style="831" bestFit="1" customWidth="1"/>
    <col min="11014" max="11014" width="11.42578125" style="831"/>
    <col min="11015" max="11015" width="15" style="831" customWidth="1"/>
    <col min="11016" max="11265" width="11.42578125" style="831"/>
    <col min="11266" max="11266" width="29.28515625" style="831" customWidth="1"/>
    <col min="11267" max="11268" width="11.42578125" style="831"/>
    <col min="11269" max="11269" width="8.140625" style="831" bestFit="1" customWidth="1"/>
    <col min="11270" max="11270" width="11.42578125" style="831"/>
    <col min="11271" max="11271" width="15" style="831" customWidth="1"/>
    <col min="11272" max="11521" width="11.42578125" style="831"/>
    <col min="11522" max="11522" width="29.28515625" style="831" customWidth="1"/>
    <col min="11523" max="11524" width="11.42578125" style="831"/>
    <col min="11525" max="11525" width="8.140625" style="831" bestFit="1" customWidth="1"/>
    <col min="11526" max="11526" width="11.42578125" style="831"/>
    <col min="11527" max="11527" width="15" style="831" customWidth="1"/>
    <col min="11528" max="11777" width="11.42578125" style="831"/>
    <col min="11778" max="11778" width="29.28515625" style="831" customWidth="1"/>
    <col min="11779" max="11780" width="11.42578125" style="831"/>
    <col min="11781" max="11781" width="8.140625" style="831" bestFit="1" customWidth="1"/>
    <col min="11782" max="11782" width="11.42578125" style="831"/>
    <col min="11783" max="11783" width="15" style="831" customWidth="1"/>
    <col min="11784" max="12033" width="11.42578125" style="831"/>
    <col min="12034" max="12034" width="29.28515625" style="831" customWidth="1"/>
    <col min="12035" max="12036" width="11.42578125" style="831"/>
    <col min="12037" max="12037" width="8.140625" style="831" bestFit="1" customWidth="1"/>
    <col min="12038" max="12038" width="11.42578125" style="831"/>
    <col min="12039" max="12039" width="15" style="831" customWidth="1"/>
    <col min="12040" max="12289" width="11.42578125" style="831"/>
    <col min="12290" max="12290" width="29.28515625" style="831" customWidth="1"/>
    <col min="12291" max="12292" width="11.42578125" style="831"/>
    <col min="12293" max="12293" width="8.140625" style="831" bestFit="1" customWidth="1"/>
    <col min="12294" max="12294" width="11.42578125" style="831"/>
    <col min="12295" max="12295" width="15" style="831" customWidth="1"/>
    <col min="12296" max="12545" width="11.42578125" style="831"/>
    <col min="12546" max="12546" width="29.28515625" style="831" customWidth="1"/>
    <col min="12547" max="12548" width="11.42578125" style="831"/>
    <col min="12549" max="12549" width="8.140625" style="831" bestFit="1" customWidth="1"/>
    <col min="12550" max="12550" width="11.42578125" style="831"/>
    <col min="12551" max="12551" width="15" style="831" customWidth="1"/>
    <col min="12552" max="12801" width="11.42578125" style="831"/>
    <col min="12802" max="12802" width="29.28515625" style="831" customWidth="1"/>
    <col min="12803" max="12804" width="11.42578125" style="831"/>
    <col min="12805" max="12805" width="8.140625" style="831" bestFit="1" customWidth="1"/>
    <col min="12806" max="12806" width="11.42578125" style="831"/>
    <col min="12807" max="12807" width="15" style="831" customWidth="1"/>
    <col min="12808" max="13057" width="11.42578125" style="831"/>
    <col min="13058" max="13058" width="29.28515625" style="831" customWidth="1"/>
    <col min="13059" max="13060" width="11.42578125" style="831"/>
    <col min="13061" max="13061" width="8.140625" style="831" bestFit="1" customWidth="1"/>
    <col min="13062" max="13062" width="11.42578125" style="831"/>
    <col min="13063" max="13063" width="15" style="831" customWidth="1"/>
    <col min="13064" max="13313" width="11.42578125" style="831"/>
    <col min="13314" max="13314" width="29.28515625" style="831" customWidth="1"/>
    <col min="13315" max="13316" width="11.42578125" style="831"/>
    <col min="13317" max="13317" width="8.140625" style="831" bestFit="1" customWidth="1"/>
    <col min="13318" max="13318" width="11.42578125" style="831"/>
    <col min="13319" max="13319" width="15" style="831" customWidth="1"/>
    <col min="13320" max="13569" width="11.42578125" style="831"/>
    <col min="13570" max="13570" width="29.28515625" style="831" customWidth="1"/>
    <col min="13571" max="13572" width="11.42578125" style="831"/>
    <col min="13573" max="13573" width="8.140625" style="831" bestFit="1" customWidth="1"/>
    <col min="13574" max="13574" width="11.42578125" style="831"/>
    <col min="13575" max="13575" width="15" style="831" customWidth="1"/>
    <col min="13576" max="13825" width="11.42578125" style="831"/>
    <col min="13826" max="13826" width="29.28515625" style="831" customWidth="1"/>
    <col min="13827" max="13828" width="11.42578125" style="831"/>
    <col min="13829" max="13829" width="8.140625" style="831" bestFit="1" customWidth="1"/>
    <col min="13830" max="13830" width="11.42578125" style="831"/>
    <col min="13831" max="13831" width="15" style="831" customWidth="1"/>
    <col min="13832" max="14081" width="11.42578125" style="831"/>
    <col min="14082" max="14082" width="29.28515625" style="831" customWidth="1"/>
    <col min="14083" max="14084" width="11.42578125" style="831"/>
    <col min="14085" max="14085" width="8.140625" style="831" bestFit="1" customWidth="1"/>
    <col min="14086" max="14086" width="11.42578125" style="831"/>
    <col min="14087" max="14087" width="15" style="831" customWidth="1"/>
    <col min="14088" max="14337" width="11.42578125" style="831"/>
    <col min="14338" max="14338" width="29.28515625" style="831" customWidth="1"/>
    <col min="14339" max="14340" width="11.42578125" style="831"/>
    <col min="14341" max="14341" width="8.140625" style="831" bestFit="1" customWidth="1"/>
    <col min="14342" max="14342" width="11.42578125" style="831"/>
    <col min="14343" max="14343" width="15" style="831" customWidth="1"/>
    <col min="14344" max="14593" width="11.42578125" style="831"/>
    <col min="14594" max="14594" width="29.28515625" style="831" customWidth="1"/>
    <col min="14595" max="14596" width="11.42578125" style="831"/>
    <col min="14597" max="14597" width="8.140625" style="831" bestFit="1" customWidth="1"/>
    <col min="14598" max="14598" width="11.42578125" style="831"/>
    <col min="14599" max="14599" width="15" style="831" customWidth="1"/>
    <col min="14600" max="14849" width="11.42578125" style="831"/>
    <col min="14850" max="14850" width="29.28515625" style="831" customWidth="1"/>
    <col min="14851" max="14852" width="11.42578125" style="831"/>
    <col min="14853" max="14853" width="8.140625" style="831" bestFit="1" customWidth="1"/>
    <col min="14854" max="14854" width="11.42578125" style="831"/>
    <col min="14855" max="14855" width="15" style="831" customWidth="1"/>
    <col min="14856" max="15105" width="11.42578125" style="831"/>
    <col min="15106" max="15106" width="29.28515625" style="831" customWidth="1"/>
    <col min="15107" max="15108" width="11.42578125" style="831"/>
    <col min="15109" max="15109" width="8.140625" style="831" bestFit="1" customWidth="1"/>
    <col min="15110" max="15110" width="11.42578125" style="831"/>
    <col min="15111" max="15111" width="15" style="831" customWidth="1"/>
    <col min="15112" max="15361" width="11.42578125" style="831"/>
    <col min="15362" max="15362" width="29.28515625" style="831" customWidth="1"/>
    <col min="15363" max="15364" width="11.42578125" style="831"/>
    <col min="15365" max="15365" width="8.140625" style="831" bestFit="1" customWidth="1"/>
    <col min="15366" max="15366" width="11.42578125" style="831"/>
    <col min="15367" max="15367" width="15" style="831" customWidth="1"/>
    <col min="15368" max="15617" width="11.42578125" style="831"/>
    <col min="15618" max="15618" width="29.28515625" style="831" customWidth="1"/>
    <col min="15619" max="15620" width="11.42578125" style="831"/>
    <col min="15621" max="15621" width="8.140625" style="831" bestFit="1" customWidth="1"/>
    <col min="15622" max="15622" width="11.42578125" style="831"/>
    <col min="15623" max="15623" width="15" style="831" customWidth="1"/>
    <col min="15624" max="15873" width="11.42578125" style="831"/>
    <col min="15874" max="15874" width="29.28515625" style="831" customWidth="1"/>
    <col min="15875" max="15876" width="11.42578125" style="831"/>
    <col min="15877" max="15877" width="8.140625" style="831" bestFit="1" customWidth="1"/>
    <col min="15878" max="15878" width="11.42578125" style="831"/>
    <col min="15879" max="15879" width="15" style="831" customWidth="1"/>
    <col min="15880" max="16129" width="11.42578125" style="831"/>
    <col min="16130" max="16130" width="29.28515625" style="831" customWidth="1"/>
    <col min="16131" max="16132" width="11.42578125" style="831"/>
    <col min="16133" max="16133" width="8.140625" style="831" bestFit="1" customWidth="1"/>
    <col min="16134" max="16134" width="11.42578125" style="831"/>
    <col min="16135" max="16135" width="15" style="831" customWidth="1"/>
    <col min="16136" max="16384" width="11.42578125" style="831"/>
  </cols>
  <sheetData>
    <row r="1" spans="1:7" ht="13.5" thickBot="1"/>
    <row r="2" spans="1:7">
      <c r="A2" s="963" t="s">
        <v>672</v>
      </c>
      <c r="B2" s="1381" t="s">
        <v>3974</v>
      </c>
      <c r="C2" s="1382"/>
      <c r="D2" s="1382"/>
      <c r="E2" s="1382"/>
      <c r="F2" s="1382"/>
      <c r="G2" s="1383"/>
    </row>
    <row r="3" spans="1:7">
      <c r="B3" s="1384" t="s">
        <v>3975</v>
      </c>
      <c r="C3" s="829"/>
      <c r="D3" s="829"/>
      <c r="E3" s="829"/>
      <c r="F3" s="829"/>
      <c r="G3" s="1385"/>
    </row>
    <row r="4" spans="1:7" ht="13.5" thickBot="1">
      <c r="B4" s="1386" t="s">
        <v>3976</v>
      </c>
      <c r="C4" s="1387"/>
      <c r="D4" s="1387"/>
      <c r="E4" s="1387"/>
      <c r="F4" s="1387"/>
      <c r="G4" s="1388"/>
    </row>
    <row r="6" spans="1:7">
      <c r="B6" s="818"/>
      <c r="C6" s="831" t="s">
        <v>3977</v>
      </c>
    </row>
    <row r="7" spans="1:7" ht="13.5" thickBot="1"/>
    <row r="8" spans="1:7">
      <c r="B8" s="1389" t="s">
        <v>3978</v>
      </c>
      <c r="C8" s="1390"/>
      <c r="D8" s="1390"/>
      <c r="E8" s="1390"/>
      <c r="F8" s="1391"/>
    </row>
    <row r="9" spans="1:7">
      <c r="B9" s="1392" t="s">
        <v>3045</v>
      </c>
      <c r="C9" s="1096"/>
      <c r="D9" s="1393">
        <v>120</v>
      </c>
      <c r="E9" s="1096" t="s">
        <v>212</v>
      </c>
      <c r="F9" s="1394"/>
    </row>
    <row r="10" spans="1:7">
      <c r="B10" s="1392" t="s">
        <v>1959</v>
      </c>
      <c r="C10" s="1096"/>
      <c r="D10" s="1393">
        <v>320</v>
      </c>
      <c r="E10" s="1096" t="s">
        <v>212</v>
      </c>
      <c r="F10" s="1394"/>
    </row>
    <row r="11" spans="1:7" ht="13.5" thickBot="1">
      <c r="B11" s="1395" t="s">
        <v>526</v>
      </c>
      <c r="C11" s="1396"/>
      <c r="D11" s="1397">
        <v>6</v>
      </c>
      <c r="E11" s="1396" t="s">
        <v>212</v>
      </c>
      <c r="F11" s="1398"/>
    </row>
    <row r="12" spans="1:7" ht="13.5" thickBot="1"/>
    <row r="13" spans="1:7">
      <c r="B13" s="1389" t="s">
        <v>2486</v>
      </c>
      <c r="C13" s="1390"/>
      <c r="D13" s="1399">
        <v>0.05</v>
      </c>
      <c r="E13" s="1390"/>
      <c r="F13" s="1391"/>
      <c r="G13" s="831" t="s">
        <v>3979</v>
      </c>
    </row>
    <row r="14" spans="1:7" ht="13.5" thickBot="1">
      <c r="B14" s="1395" t="s">
        <v>3980</v>
      </c>
      <c r="C14" s="1396"/>
      <c r="D14" s="1400" t="s">
        <v>3981</v>
      </c>
      <c r="E14" s="1401">
        <v>20</v>
      </c>
      <c r="F14" s="1398" t="s">
        <v>2494</v>
      </c>
      <c r="G14" s="831" t="s">
        <v>3982</v>
      </c>
    </row>
    <row r="15" spans="1:7" ht="13.5" thickBot="1">
      <c r="D15" s="1402"/>
    </row>
    <row r="16" spans="1:7">
      <c r="B16" s="1389" t="s">
        <v>2663</v>
      </c>
      <c r="C16" s="1390"/>
      <c r="D16" s="1403">
        <v>21</v>
      </c>
      <c r="E16" s="1390"/>
      <c r="F16" s="1391"/>
    </row>
    <row r="17" spans="2:7" ht="13.5" thickBot="1">
      <c r="B17" s="1395" t="s">
        <v>1773</v>
      </c>
      <c r="C17" s="1396"/>
      <c r="D17" s="1404">
        <v>15.238095238095237</v>
      </c>
      <c r="E17" s="1396" t="s">
        <v>212</v>
      </c>
      <c r="F17" s="1398"/>
      <c r="G17" s="831" t="s">
        <v>3983</v>
      </c>
    </row>
    <row r="18" spans="2:7" ht="13.5" thickBot="1"/>
    <row r="19" spans="2:7" ht="13.5" thickBot="1">
      <c r="B19" s="1405" t="s">
        <v>1774</v>
      </c>
      <c r="C19" s="1406"/>
      <c r="D19" s="1407">
        <v>16</v>
      </c>
      <c r="E19" s="1406" t="s">
        <v>212</v>
      </c>
      <c r="F19" s="1408"/>
      <c r="G19" s="831" t="s">
        <v>3984</v>
      </c>
    </row>
    <row r="22" spans="2:7">
      <c r="D22" s="1402"/>
    </row>
    <row r="26" spans="2:7" ht="13.5" thickBot="1"/>
    <row r="27" spans="2:7">
      <c r="B27" s="1381" t="s">
        <v>3974</v>
      </c>
      <c r="C27" s="1382"/>
      <c r="D27" s="1382"/>
      <c r="E27" s="1382"/>
      <c r="F27" s="1382"/>
      <c r="G27" s="1383"/>
    </row>
    <row r="28" spans="2:7">
      <c r="B28" s="1384" t="s">
        <v>3975</v>
      </c>
      <c r="C28" s="829"/>
      <c r="D28" s="829"/>
      <c r="E28" s="829"/>
      <c r="F28" s="829"/>
      <c r="G28" s="1385"/>
    </row>
    <row r="29" spans="2:7" ht="13.5" thickBot="1">
      <c r="B29" s="1386" t="s">
        <v>3976</v>
      </c>
      <c r="C29" s="1387"/>
      <c r="D29" s="1387"/>
      <c r="E29" s="1387"/>
      <c r="F29" s="1387"/>
      <c r="G29" s="1388"/>
    </row>
    <row r="32" spans="2:7">
      <c r="B32" s="828" t="s">
        <v>3985</v>
      </c>
      <c r="C32" s="1409">
        <v>120</v>
      </c>
      <c r="D32" s="831" t="s">
        <v>212</v>
      </c>
    </row>
    <row r="33" spans="2:5">
      <c r="B33" s="828" t="s">
        <v>3986</v>
      </c>
      <c r="C33" s="1409">
        <v>6</v>
      </c>
      <c r="D33" s="831" t="s">
        <v>212</v>
      </c>
    </row>
    <row r="34" spans="2:5">
      <c r="B34" s="828" t="s">
        <v>3987</v>
      </c>
      <c r="C34" s="1409">
        <v>320</v>
      </c>
      <c r="D34" s="831" t="s">
        <v>212</v>
      </c>
    </row>
    <row r="35" spans="2:5">
      <c r="B35" s="830"/>
    </row>
    <row r="36" spans="2:5">
      <c r="B36" s="830" t="s">
        <v>2595</v>
      </c>
      <c r="C36" s="831">
        <v>0.05</v>
      </c>
      <c r="E36" s="831" t="s">
        <v>3988</v>
      </c>
    </row>
    <row r="37" spans="2:5">
      <c r="B37" s="830" t="s">
        <v>2595</v>
      </c>
      <c r="C37" s="1410">
        <v>0.05</v>
      </c>
    </row>
    <row r="38" spans="2:5">
      <c r="B38" s="830"/>
      <c r="C38" s="830" t="s">
        <v>2721</v>
      </c>
      <c r="D38" s="965">
        <v>20</v>
      </c>
      <c r="E38" s="831" t="s">
        <v>3989</v>
      </c>
    </row>
    <row r="39" spans="2:5">
      <c r="B39" s="830"/>
      <c r="C39" s="963" t="s">
        <v>3990</v>
      </c>
      <c r="E39" s="831" t="s">
        <v>3991</v>
      </c>
    </row>
    <row r="40" spans="2:5">
      <c r="B40" s="830"/>
    </row>
    <row r="41" spans="2:5">
      <c r="B41" s="830" t="s">
        <v>2680</v>
      </c>
      <c r="C41" s="830">
        <v>21</v>
      </c>
    </row>
    <row r="42" spans="2:5">
      <c r="B42" s="830" t="s">
        <v>1588</v>
      </c>
      <c r="C42" s="968">
        <v>15.238095238095237</v>
      </c>
      <c r="D42" s="831" t="s">
        <v>212</v>
      </c>
    </row>
    <row r="43" spans="2:5">
      <c r="B43" s="830"/>
    </row>
    <row r="44" spans="2:5">
      <c r="B44" s="831" t="s">
        <v>3992</v>
      </c>
      <c r="C44" s="831">
        <v>1.05</v>
      </c>
    </row>
    <row r="45" spans="2:5">
      <c r="B45" s="830" t="s">
        <v>2537</v>
      </c>
      <c r="C45" s="831">
        <v>16</v>
      </c>
      <c r="D45" s="831" t="s">
        <v>212</v>
      </c>
      <c r="E45" s="831" t="s">
        <v>3993</v>
      </c>
    </row>
    <row r="48" spans="2:5" ht="15.75">
      <c r="B48" s="831" t="s">
        <v>3994</v>
      </c>
      <c r="C48" s="831">
        <v>20</v>
      </c>
      <c r="E48" s="1411" t="s">
        <v>3995</v>
      </c>
    </row>
    <row r="49" spans="2:3">
      <c r="B49" s="831" t="s">
        <v>3996</v>
      </c>
      <c r="C49" s="831">
        <v>0.05</v>
      </c>
    </row>
  </sheetData>
  <pageMargins left="0.78740157499999996" right="0.78740157499999996" top="0.984251969" bottom="0.984251969" header="0.4921259845" footer="0.492125984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7"/>
  <sheetViews>
    <sheetView zoomScaleNormal="100" workbookViewId="0">
      <selection activeCell="L16" sqref="L16"/>
    </sheetView>
  </sheetViews>
  <sheetFormatPr baseColWidth="10" defaultRowHeight="12.75"/>
  <cols>
    <col min="1" max="3" width="11.42578125" style="831"/>
    <col min="4" max="4" width="8.140625" style="831" customWidth="1"/>
    <col min="5" max="5" width="8.42578125" style="831" customWidth="1"/>
    <col min="6" max="7" width="11.42578125" style="831"/>
    <col min="8" max="8" width="20.7109375" style="831" customWidth="1"/>
    <col min="9" max="259" width="11.42578125" style="831"/>
    <col min="260" max="260" width="8.140625" style="831" customWidth="1"/>
    <col min="261" max="261" width="8.42578125" style="831" customWidth="1"/>
    <col min="262" max="263" width="11.42578125" style="831"/>
    <col min="264" max="264" width="20.7109375" style="831" customWidth="1"/>
    <col min="265" max="515" width="11.42578125" style="831"/>
    <col min="516" max="516" width="8.140625" style="831" customWidth="1"/>
    <col min="517" max="517" width="8.42578125" style="831" customWidth="1"/>
    <col min="518" max="519" width="11.42578125" style="831"/>
    <col min="520" max="520" width="20.7109375" style="831" customWidth="1"/>
    <col min="521" max="771" width="11.42578125" style="831"/>
    <col min="772" max="772" width="8.140625" style="831" customWidth="1"/>
    <col min="773" max="773" width="8.42578125" style="831" customWidth="1"/>
    <col min="774" max="775" width="11.42578125" style="831"/>
    <col min="776" max="776" width="20.7109375" style="831" customWidth="1"/>
    <col min="777" max="1027" width="11.42578125" style="831"/>
    <col min="1028" max="1028" width="8.140625" style="831" customWidth="1"/>
    <col min="1029" max="1029" width="8.42578125" style="831" customWidth="1"/>
    <col min="1030" max="1031" width="11.42578125" style="831"/>
    <col min="1032" max="1032" width="20.7109375" style="831" customWidth="1"/>
    <col min="1033" max="1283" width="11.42578125" style="831"/>
    <col min="1284" max="1284" width="8.140625" style="831" customWidth="1"/>
    <col min="1285" max="1285" width="8.42578125" style="831" customWidth="1"/>
    <col min="1286" max="1287" width="11.42578125" style="831"/>
    <col min="1288" max="1288" width="20.7109375" style="831" customWidth="1"/>
    <col min="1289" max="1539" width="11.42578125" style="831"/>
    <col min="1540" max="1540" width="8.140625" style="831" customWidth="1"/>
    <col min="1541" max="1541" width="8.42578125" style="831" customWidth="1"/>
    <col min="1542" max="1543" width="11.42578125" style="831"/>
    <col min="1544" max="1544" width="20.7109375" style="831" customWidth="1"/>
    <col min="1545" max="1795" width="11.42578125" style="831"/>
    <col min="1796" max="1796" width="8.140625" style="831" customWidth="1"/>
    <col min="1797" max="1797" width="8.42578125" style="831" customWidth="1"/>
    <col min="1798" max="1799" width="11.42578125" style="831"/>
    <col min="1800" max="1800" width="20.7109375" style="831" customWidth="1"/>
    <col min="1801" max="2051" width="11.42578125" style="831"/>
    <col min="2052" max="2052" width="8.140625" style="831" customWidth="1"/>
    <col min="2053" max="2053" width="8.42578125" style="831" customWidth="1"/>
    <col min="2054" max="2055" width="11.42578125" style="831"/>
    <col min="2056" max="2056" width="20.7109375" style="831" customWidth="1"/>
    <col min="2057" max="2307" width="11.42578125" style="831"/>
    <col min="2308" max="2308" width="8.140625" style="831" customWidth="1"/>
    <col min="2309" max="2309" width="8.42578125" style="831" customWidth="1"/>
    <col min="2310" max="2311" width="11.42578125" style="831"/>
    <col min="2312" max="2312" width="20.7109375" style="831" customWidth="1"/>
    <col min="2313" max="2563" width="11.42578125" style="831"/>
    <col min="2564" max="2564" width="8.140625" style="831" customWidth="1"/>
    <col min="2565" max="2565" width="8.42578125" style="831" customWidth="1"/>
    <col min="2566" max="2567" width="11.42578125" style="831"/>
    <col min="2568" max="2568" width="20.7109375" style="831" customWidth="1"/>
    <col min="2569" max="2819" width="11.42578125" style="831"/>
    <col min="2820" max="2820" width="8.140625" style="831" customWidth="1"/>
    <col min="2821" max="2821" width="8.42578125" style="831" customWidth="1"/>
    <col min="2822" max="2823" width="11.42578125" style="831"/>
    <col min="2824" max="2824" width="20.7109375" style="831" customWidth="1"/>
    <col min="2825" max="3075" width="11.42578125" style="831"/>
    <col min="3076" max="3076" width="8.140625" style="831" customWidth="1"/>
    <col min="3077" max="3077" width="8.42578125" style="831" customWidth="1"/>
    <col min="3078" max="3079" width="11.42578125" style="831"/>
    <col min="3080" max="3080" width="20.7109375" style="831" customWidth="1"/>
    <col min="3081" max="3331" width="11.42578125" style="831"/>
    <col min="3332" max="3332" width="8.140625" style="831" customWidth="1"/>
    <col min="3333" max="3333" width="8.42578125" style="831" customWidth="1"/>
    <col min="3334" max="3335" width="11.42578125" style="831"/>
    <col min="3336" max="3336" width="20.7109375" style="831" customWidth="1"/>
    <col min="3337" max="3587" width="11.42578125" style="831"/>
    <col min="3588" max="3588" width="8.140625" style="831" customWidth="1"/>
    <col min="3589" max="3589" width="8.42578125" style="831" customWidth="1"/>
    <col min="3590" max="3591" width="11.42578125" style="831"/>
    <col min="3592" max="3592" width="20.7109375" style="831" customWidth="1"/>
    <col min="3593" max="3843" width="11.42578125" style="831"/>
    <col min="3844" max="3844" width="8.140625" style="831" customWidth="1"/>
    <col min="3845" max="3845" width="8.42578125" style="831" customWidth="1"/>
    <col min="3846" max="3847" width="11.42578125" style="831"/>
    <col min="3848" max="3848" width="20.7109375" style="831" customWidth="1"/>
    <col min="3849" max="4099" width="11.42578125" style="831"/>
    <col min="4100" max="4100" width="8.140625" style="831" customWidth="1"/>
    <col min="4101" max="4101" width="8.42578125" style="831" customWidth="1"/>
    <col min="4102" max="4103" width="11.42578125" style="831"/>
    <col min="4104" max="4104" width="20.7109375" style="831" customWidth="1"/>
    <col min="4105" max="4355" width="11.42578125" style="831"/>
    <col min="4356" max="4356" width="8.140625" style="831" customWidth="1"/>
    <col min="4357" max="4357" width="8.42578125" style="831" customWidth="1"/>
    <col min="4358" max="4359" width="11.42578125" style="831"/>
    <col min="4360" max="4360" width="20.7109375" style="831" customWidth="1"/>
    <col min="4361" max="4611" width="11.42578125" style="831"/>
    <col min="4612" max="4612" width="8.140625" style="831" customWidth="1"/>
    <col min="4613" max="4613" width="8.42578125" style="831" customWidth="1"/>
    <col min="4614" max="4615" width="11.42578125" style="831"/>
    <col min="4616" max="4616" width="20.7109375" style="831" customWidth="1"/>
    <col min="4617" max="4867" width="11.42578125" style="831"/>
    <col min="4868" max="4868" width="8.140625" style="831" customWidth="1"/>
    <col min="4869" max="4869" width="8.42578125" style="831" customWidth="1"/>
    <col min="4870" max="4871" width="11.42578125" style="831"/>
    <col min="4872" max="4872" width="20.7109375" style="831" customWidth="1"/>
    <col min="4873" max="5123" width="11.42578125" style="831"/>
    <col min="5124" max="5124" width="8.140625" style="831" customWidth="1"/>
    <col min="5125" max="5125" width="8.42578125" style="831" customWidth="1"/>
    <col min="5126" max="5127" width="11.42578125" style="831"/>
    <col min="5128" max="5128" width="20.7109375" style="831" customWidth="1"/>
    <col min="5129" max="5379" width="11.42578125" style="831"/>
    <col min="5380" max="5380" width="8.140625" style="831" customWidth="1"/>
    <col min="5381" max="5381" width="8.42578125" style="831" customWidth="1"/>
    <col min="5382" max="5383" width="11.42578125" style="831"/>
    <col min="5384" max="5384" width="20.7109375" style="831" customWidth="1"/>
    <col min="5385" max="5635" width="11.42578125" style="831"/>
    <col min="5636" max="5636" width="8.140625" style="831" customWidth="1"/>
    <col min="5637" max="5637" width="8.42578125" style="831" customWidth="1"/>
    <col min="5638" max="5639" width="11.42578125" style="831"/>
    <col min="5640" max="5640" width="20.7109375" style="831" customWidth="1"/>
    <col min="5641" max="5891" width="11.42578125" style="831"/>
    <col min="5892" max="5892" width="8.140625" style="831" customWidth="1"/>
    <col min="5893" max="5893" width="8.42578125" style="831" customWidth="1"/>
    <col min="5894" max="5895" width="11.42578125" style="831"/>
    <col min="5896" max="5896" width="20.7109375" style="831" customWidth="1"/>
    <col min="5897" max="6147" width="11.42578125" style="831"/>
    <col min="6148" max="6148" width="8.140625" style="831" customWidth="1"/>
    <col min="6149" max="6149" width="8.42578125" style="831" customWidth="1"/>
    <col min="6150" max="6151" width="11.42578125" style="831"/>
    <col min="6152" max="6152" width="20.7109375" style="831" customWidth="1"/>
    <col min="6153" max="6403" width="11.42578125" style="831"/>
    <col min="6404" max="6404" width="8.140625" style="831" customWidth="1"/>
    <col min="6405" max="6405" width="8.42578125" style="831" customWidth="1"/>
    <col min="6406" max="6407" width="11.42578125" style="831"/>
    <col min="6408" max="6408" width="20.7109375" style="831" customWidth="1"/>
    <col min="6409" max="6659" width="11.42578125" style="831"/>
    <col min="6660" max="6660" width="8.140625" style="831" customWidth="1"/>
    <col min="6661" max="6661" width="8.42578125" style="831" customWidth="1"/>
    <col min="6662" max="6663" width="11.42578125" style="831"/>
    <col min="6664" max="6664" width="20.7109375" style="831" customWidth="1"/>
    <col min="6665" max="6915" width="11.42578125" style="831"/>
    <col min="6916" max="6916" width="8.140625" style="831" customWidth="1"/>
    <col min="6917" max="6917" width="8.42578125" style="831" customWidth="1"/>
    <col min="6918" max="6919" width="11.42578125" style="831"/>
    <col min="6920" max="6920" width="20.7109375" style="831" customWidth="1"/>
    <col min="6921" max="7171" width="11.42578125" style="831"/>
    <col min="7172" max="7172" width="8.140625" style="831" customWidth="1"/>
    <col min="7173" max="7173" width="8.42578125" style="831" customWidth="1"/>
    <col min="7174" max="7175" width="11.42578125" style="831"/>
    <col min="7176" max="7176" width="20.7109375" style="831" customWidth="1"/>
    <col min="7177" max="7427" width="11.42578125" style="831"/>
    <col min="7428" max="7428" width="8.140625" style="831" customWidth="1"/>
    <col min="7429" max="7429" width="8.42578125" style="831" customWidth="1"/>
    <col min="7430" max="7431" width="11.42578125" style="831"/>
    <col min="7432" max="7432" width="20.7109375" style="831" customWidth="1"/>
    <col min="7433" max="7683" width="11.42578125" style="831"/>
    <col min="7684" max="7684" width="8.140625" style="831" customWidth="1"/>
    <col min="7685" max="7685" width="8.42578125" style="831" customWidth="1"/>
    <col min="7686" max="7687" width="11.42578125" style="831"/>
    <col min="7688" max="7688" width="20.7109375" style="831" customWidth="1"/>
    <col min="7689" max="7939" width="11.42578125" style="831"/>
    <col min="7940" max="7940" width="8.140625" style="831" customWidth="1"/>
    <col min="7941" max="7941" width="8.42578125" style="831" customWidth="1"/>
    <col min="7942" max="7943" width="11.42578125" style="831"/>
    <col min="7944" max="7944" width="20.7109375" style="831" customWidth="1"/>
    <col min="7945" max="8195" width="11.42578125" style="831"/>
    <col min="8196" max="8196" width="8.140625" style="831" customWidth="1"/>
    <col min="8197" max="8197" width="8.42578125" style="831" customWidth="1"/>
    <col min="8198" max="8199" width="11.42578125" style="831"/>
    <col min="8200" max="8200" width="20.7109375" style="831" customWidth="1"/>
    <col min="8201" max="8451" width="11.42578125" style="831"/>
    <col min="8452" max="8452" width="8.140625" style="831" customWidth="1"/>
    <col min="8453" max="8453" width="8.42578125" style="831" customWidth="1"/>
    <col min="8454" max="8455" width="11.42578125" style="831"/>
    <col min="8456" max="8456" width="20.7109375" style="831" customWidth="1"/>
    <col min="8457" max="8707" width="11.42578125" style="831"/>
    <col min="8708" max="8708" width="8.140625" style="831" customWidth="1"/>
    <col min="8709" max="8709" width="8.42578125" style="831" customWidth="1"/>
    <col min="8710" max="8711" width="11.42578125" style="831"/>
    <col min="8712" max="8712" width="20.7109375" style="831" customWidth="1"/>
    <col min="8713" max="8963" width="11.42578125" style="831"/>
    <col min="8964" max="8964" width="8.140625" style="831" customWidth="1"/>
    <col min="8965" max="8965" width="8.42578125" style="831" customWidth="1"/>
    <col min="8966" max="8967" width="11.42578125" style="831"/>
    <col min="8968" max="8968" width="20.7109375" style="831" customWidth="1"/>
    <col min="8969" max="9219" width="11.42578125" style="831"/>
    <col min="9220" max="9220" width="8.140625" style="831" customWidth="1"/>
    <col min="9221" max="9221" width="8.42578125" style="831" customWidth="1"/>
    <col min="9222" max="9223" width="11.42578125" style="831"/>
    <col min="9224" max="9224" width="20.7109375" style="831" customWidth="1"/>
    <col min="9225" max="9475" width="11.42578125" style="831"/>
    <col min="9476" max="9476" width="8.140625" style="831" customWidth="1"/>
    <col min="9477" max="9477" width="8.42578125" style="831" customWidth="1"/>
    <col min="9478" max="9479" width="11.42578125" style="831"/>
    <col min="9480" max="9480" width="20.7109375" style="831" customWidth="1"/>
    <col min="9481" max="9731" width="11.42578125" style="831"/>
    <col min="9732" max="9732" width="8.140625" style="831" customWidth="1"/>
    <col min="9733" max="9733" width="8.42578125" style="831" customWidth="1"/>
    <col min="9734" max="9735" width="11.42578125" style="831"/>
    <col min="9736" max="9736" width="20.7109375" style="831" customWidth="1"/>
    <col min="9737" max="9987" width="11.42578125" style="831"/>
    <col min="9988" max="9988" width="8.140625" style="831" customWidth="1"/>
    <col min="9989" max="9989" width="8.42578125" style="831" customWidth="1"/>
    <col min="9990" max="9991" width="11.42578125" style="831"/>
    <col min="9992" max="9992" width="20.7109375" style="831" customWidth="1"/>
    <col min="9993" max="10243" width="11.42578125" style="831"/>
    <col min="10244" max="10244" width="8.140625" style="831" customWidth="1"/>
    <col min="10245" max="10245" width="8.42578125" style="831" customWidth="1"/>
    <col min="10246" max="10247" width="11.42578125" style="831"/>
    <col min="10248" max="10248" width="20.7109375" style="831" customWidth="1"/>
    <col min="10249" max="10499" width="11.42578125" style="831"/>
    <col min="10500" max="10500" width="8.140625" style="831" customWidth="1"/>
    <col min="10501" max="10501" width="8.42578125" style="831" customWidth="1"/>
    <col min="10502" max="10503" width="11.42578125" style="831"/>
    <col min="10504" max="10504" width="20.7109375" style="831" customWidth="1"/>
    <col min="10505" max="10755" width="11.42578125" style="831"/>
    <col min="10756" max="10756" width="8.140625" style="831" customWidth="1"/>
    <col min="10757" max="10757" width="8.42578125" style="831" customWidth="1"/>
    <col min="10758" max="10759" width="11.42578125" style="831"/>
    <col min="10760" max="10760" width="20.7109375" style="831" customWidth="1"/>
    <col min="10761" max="11011" width="11.42578125" style="831"/>
    <col min="11012" max="11012" width="8.140625" style="831" customWidth="1"/>
    <col min="11013" max="11013" width="8.42578125" style="831" customWidth="1"/>
    <col min="11014" max="11015" width="11.42578125" style="831"/>
    <col min="11016" max="11016" width="20.7109375" style="831" customWidth="1"/>
    <col min="11017" max="11267" width="11.42578125" style="831"/>
    <col min="11268" max="11268" width="8.140625" style="831" customWidth="1"/>
    <col min="11269" max="11269" width="8.42578125" style="831" customWidth="1"/>
    <col min="11270" max="11271" width="11.42578125" style="831"/>
    <col min="11272" max="11272" width="20.7109375" style="831" customWidth="1"/>
    <col min="11273" max="11523" width="11.42578125" style="831"/>
    <col min="11524" max="11524" width="8.140625" style="831" customWidth="1"/>
    <col min="11525" max="11525" width="8.42578125" style="831" customWidth="1"/>
    <col min="11526" max="11527" width="11.42578125" style="831"/>
    <col min="11528" max="11528" width="20.7109375" style="831" customWidth="1"/>
    <col min="11529" max="11779" width="11.42578125" style="831"/>
    <col min="11780" max="11780" width="8.140625" style="831" customWidth="1"/>
    <col min="11781" max="11781" width="8.42578125" style="831" customWidth="1"/>
    <col min="11782" max="11783" width="11.42578125" style="831"/>
    <col min="11784" max="11784" width="20.7109375" style="831" customWidth="1"/>
    <col min="11785" max="12035" width="11.42578125" style="831"/>
    <col min="12036" max="12036" width="8.140625" style="831" customWidth="1"/>
    <col min="12037" max="12037" width="8.42578125" style="831" customWidth="1"/>
    <col min="12038" max="12039" width="11.42578125" style="831"/>
    <col min="12040" max="12040" width="20.7109375" style="831" customWidth="1"/>
    <col min="12041" max="12291" width="11.42578125" style="831"/>
    <col min="12292" max="12292" width="8.140625" style="831" customWidth="1"/>
    <col min="12293" max="12293" width="8.42578125" style="831" customWidth="1"/>
    <col min="12294" max="12295" width="11.42578125" style="831"/>
    <col min="12296" max="12296" width="20.7109375" style="831" customWidth="1"/>
    <col min="12297" max="12547" width="11.42578125" style="831"/>
    <col min="12548" max="12548" width="8.140625" style="831" customWidth="1"/>
    <col min="12549" max="12549" width="8.42578125" style="831" customWidth="1"/>
    <col min="12550" max="12551" width="11.42578125" style="831"/>
    <col min="12552" max="12552" width="20.7109375" style="831" customWidth="1"/>
    <col min="12553" max="12803" width="11.42578125" style="831"/>
    <col min="12804" max="12804" width="8.140625" style="831" customWidth="1"/>
    <col min="12805" max="12805" width="8.42578125" style="831" customWidth="1"/>
    <col min="12806" max="12807" width="11.42578125" style="831"/>
    <col min="12808" max="12808" width="20.7109375" style="831" customWidth="1"/>
    <col min="12809" max="13059" width="11.42578125" style="831"/>
    <col min="13060" max="13060" width="8.140625" style="831" customWidth="1"/>
    <col min="13061" max="13061" width="8.42578125" style="831" customWidth="1"/>
    <col min="13062" max="13063" width="11.42578125" style="831"/>
    <col min="13064" max="13064" width="20.7109375" style="831" customWidth="1"/>
    <col min="13065" max="13315" width="11.42578125" style="831"/>
    <col min="13316" max="13316" width="8.140625" style="831" customWidth="1"/>
    <col min="13317" max="13317" width="8.42578125" style="831" customWidth="1"/>
    <col min="13318" max="13319" width="11.42578125" style="831"/>
    <col min="13320" max="13320" width="20.7109375" style="831" customWidth="1"/>
    <col min="13321" max="13571" width="11.42578125" style="831"/>
    <col min="13572" max="13572" width="8.140625" style="831" customWidth="1"/>
    <col min="13573" max="13573" width="8.42578125" style="831" customWidth="1"/>
    <col min="13574" max="13575" width="11.42578125" style="831"/>
    <col min="13576" max="13576" width="20.7109375" style="831" customWidth="1"/>
    <col min="13577" max="13827" width="11.42578125" style="831"/>
    <col min="13828" max="13828" width="8.140625" style="831" customWidth="1"/>
    <col min="13829" max="13829" width="8.42578125" style="831" customWidth="1"/>
    <col min="13830" max="13831" width="11.42578125" style="831"/>
    <col min="13832" max="13832" width="20.7109375" style="831" customWidth="1"/>
    <col min="13833" max="14083" width="11.42578125" style="831"/>
    <col min="14084" max="14084" width="8.140625" style="831" customWidth="1"/>
    <col min="14085" max="14085" width="8.42578125" style="831" customWidth="1"/>
    <col min="14086" max="14087" width="11.42578125" style="831"/>
    <col min="14088" max="14088" width="20.7109375" style="831" customWidth="1"/>
    <col min="14089" max="14339" width="11.42578125" style="831"/>
    <col min="14340" max="14340" width="8.140625" style="831" customWidth="1"/>
    <col min="14341" max="14341" width="8.42578125" style="831" customWidth="1"/>
    <col min="14342" max="14343" width="11.42578125" style="831"/>
    <col min="14344" max="14344" width="20.7109375" style="831" customWidth="1"/>
    <col min="14345" max="14595" width="11.42578125" style="831"/>
    <col min="14596" max="14596" width="8.140625" style="831" customWidth="1"/>
    <col min="14597" max="14597" width="8.42578125" style="831" customWidth="1"/>
    <col min="14598" max="14599" width="11.42578125" style="831"/>
    <col min="14600" max="14600" width="20.7109375" style="831" customWidth="1"/>
    <col min="14601" max="14851" width="11.42578125" style="831"/>
    <col min="14852" max="14852" width="8.140625" style="831" customWidth="1"/>
    <col min="14853" max="14853" width="8.42578125" style="831" customWidth="1"/>
    <col min="14854" max="14855" width="11.42578125" style="831"/>
    <col min="14856" max="14856" width="20.7109375" style="831" customWidth="1"/>
    <col min="14857" max="15107" width="11.42578125" style="831"/>
    <col min="15108" max="15108" width="8.140625" style="831" customWidth="1"/>
    <col min="15109" max="15109" width="8.42578125" style="831" customWidth="1"/>
    <col min="15110" max="15111" width="11.42578125" style="831"/>
    <col min="15112" max="15112" width="20.7109375" style="831" customWidth="1"/>
    <col min="15113" max="15363" width="11.42578125" style="831"/>
    <col min="15364" max="15364" width="8.140625" style="831" customWidth="1"/>
    <col min="15365" max="15365" width="8.42578125" style="831" customWidth="1"/>
    <col min="15366" max="15367" width="11.42578125" style="831"/>
    <col min="15368" max="15368" width="20.7109375" style="831" customWidth="1"/>
    <col min="15369" max="15619" width="11.42578125" style="831"/>
    <col min="15620" max="15620" width="8.140625" style="831" customWidth="1"/>
    <col min="15621" max="15621" width="8.42578125" style="831" customWidth="1"/>
    <col min="15622" max="15623" width="11.42578125" style="831"/>
    <col min="15624" max="15624" width="20.7109375" style="831" customWidth="1"/>
    <col min="15625" max="15875" width="11.42578125" style="831"/>
    <col min="15876" max="15876" width="8.140625" style="831" customWidth="1"/>
    <col min="15877" max="15877" width="8.42578125" style="831" customWidth="1"/>
    <col min="15878" max="15879" width="11.42578125" style="831"/>
    <col min="15880" max="15880" width="20.7109375" style="831" customWidth="1"/>
    <col min="15881" max="16131" width="11.42578125" style="831"/>
    <col min="16132" max="16132" width="8.140625" style="831" customWidth="1"/>
    <col min="16133" max="16133" width="8.42578125" style="831" customWidth="1"/>
    <col min="16134" max="16135" width="11.42578125" style="831"/>
    <col min="16136" max="16136" width="20.7109375" style="831" customWidth="1"/>
    <col min="16137" max="16384" width="11.42578125" style="831"/>
  </cols>
  <sheetData>
    <row r="1" spans="1:9" ht="13.5" thickBot="1"/>
    <row r="2" spans="1:9">
      <c r="A2" s="963" t="s">
        <v>673</v>
      </c>
      <c r="B2" s="1381" t="s">
        <v>3997</v>
      </c>
      <c r="C2" s="1382"/>
      <c r="D2" s="1382"/>
      <c r="E2" s="1382"/>
      <c r="F2" s="1382"/>
      <c r="G2" s="1382"/>
      <c r="H2" s="1383"/>
    </row>
    <row r="3" spans="1:9">
      <c r="B3" s="1384" t="s">
        <v>3998</v>
      </c>
      <c r="C3" s="829"/>
      <c r="D3" s="829"/>
      <c r="E3" s="829"/>
      <c r="F3" s="829"/>
      <c r="G3" s="829"/>
      <c r="H3" s="1385"/>
    </row>
    <row r="4" spans="1:9" ht="13.5" thickBot="1">
      <c r="B4" s="1386" t="s">
        <v>3999</v>
      </c>
      <c r="C4" s="1387"/>
      <c r="D4" s="1387"/>
      <c r="E4" s="1387"/>
      <c r="F4" s="1387"/>
      <c r="G4" s="1387"/>
      <c r="H4" s="1388"/>
    </row>
    <row r="6" spans="1:9">
      <c r="B6" s="818"/>
      <c r="C6" s="831" t="s">
        <v>3977</v>
      </c>
    </row>
    <row r="7" spans="1:9" ht="13.5" thickBot="1"/>
    <row r="8" spans="1:9">
      <c r="B8" s="1389" t="s">
        <v>3978</v>
      </c>
      <c r="C8" s="1390"/>
      <c r="D8" s="1390"/>
      <c r="E8" s="1390"/>
      <c r="F8" s="1391"/>
    </row>
    <row r="9" spans="1:9">
      <c r="B9" s="1392" t="s">
        <v>3045</v>
      </c>
      <c r="C9" s="1096"/>
      <c r="D9" s="1393">
        <v>325</v>
      </c>
      <c r="E9" s="1096" t="s">
        <v>212</v>
      </c>
      <c r="F9" s="1394"/>
    </row>
    <row r="10" spans="1:9">
      <c r="B10" s="1392" t="s">
        <v>4000</v>
      </c>
      <c r="C10" s="1096"/>
      <c r="D10" s="1393">
        <v>450</v>
      </c>
      <c r="E10" s="1096" t="s">
        <v>212</v>
      </c>
      <c r="F10" s="1394"/>
    </row>
    <row r="11" spans="1:9">
      <c r="B11" s="1392" t="s">
        <v>1959</v>
      </c>
      <c r="C11" s="1096"/>
      <c r="D11" s="1393">
        <v>750</v>
      </c>
      <c r="E11" s="1096" t="s">
        <v>212</v>
      </c>
      <c r="F11" s="1394" t="s">
        <v>251</v>
      </c>
    </row>
    <row r="12" spans="1:9" ht="13.5" thickBot="1">
      <c r="B12" s="1395" t="s">
        <v>1774</v>
      </c>
      <c r="C12" s="1396"/>
      <c r="D12" s="1397">
        <v>30</v>
      </c>
      <c r="E12" s="1396" t="s">
        <v>212</v>
      </c>
      <c r="F12" s="1398" t="s">
        <v>2495</v>
      </c>
    </row>
    <row r="13" spans="1:9" ht="13.5" thickBot="1"/>
    <row r="14" spans="1:9">
      <c r="B14" s="1389" t="s">
        <v>2486</v>
      </c>
      <c r="C14" s="1390"/>
      <c r="D14" s="1412">
        <v>0.04</v>
      </c>
      <c r="E14" s="1390"/>
      <c r="F14" s="1391">
        <v>0.04</v>
      </c>
      <c r="G14" s="831" t="s">
        <v>4001</v>
      </c>
      <c r="I14" s="831" t="s">
        <v>4002</v>
      </c>
    </row>
    <row r="15" spans="1:9" ht="13.5" thickBot="1">
      <c r="B15" s="1395" t="s">
        <v>3980</v>
      </c>
      <c r="C15" s="1396"/>
      <c r="D15" s="1400" t="s">
        <v>3981</v>
      </c>
      <c r="E15" s="1401">
        <v>25</v>
      </c>
      <c r="F15" s="1398" t="s">
        <v>2494</v>
      </c>
      <c r="G15" s="1413" t="s">
        <v>3982</v>
      </c>
    </row>
    <row r="16" spans="1:9" ht="13.5" thickBot="1">
      <c r="D16" s="830"/>
    </row>
    <row r="17" spans="2:7">
      <c r="B17" s="1389" t="s">
        <v>2663</v>
      </c>
      <c r="C17" s="1390"/>
      <c r="D17" s="1403">
        <v>26</v>
      </c>
      <c r="E17" s="1390"/>
      <c r="F17" s="1391"/>
    </row>
    <row r="18" spans="2:7" ht="13.5" thickBot="1">
      <c r="B18" s="1395" t="s">
        <v>1773</v>
      </c>
      <c r="C18" s="1396"/>
      <c r="D18" s="1414">
        <v>28.846153846153847</v>
      </c>
      <c r="E18" s="1396" t="s">
        <v>212</v>
      </c>
      <c r="F18" s="1398"/>
      <c r="G18" s="831" t="s">
        <v>3983</v>
      </c>
    </row>
    <row r="19" spans="2:7" ht="13.5" thickBot="1">
      <c r="D19" s="830"/>
    </row>
    <row r="20" spans="2:7">
      <c r="B20" s="1389" t="s">
        <v>526</v>
      </c>
      <c r="C20" s="1390"/>
      <c r="D20" s="1415">
        <v>13</v>
      </c>
      <c r="E20" s="1390" t="s">
        <v>212</v>
      </c>
      <c r="F20" s="1391"/>
      <c r="G20" s="831" t="s">
        <v>4003</v>
      </c>
    </row>
    <row r="21" spans="2:7" ht="13.5" thickBot="1">
      <c r="B21" s="1395" t="s">
        <v>520</v>
      </c>
      <c r="C21" s="1396"/>
      <c r="D21" s="1416">
        <v>18</v>
      </c>
      <c r="E21" s="1396" t="s">
        <v>212</v>
      </c>
      <c r="F21" s="1398"/>
      <c r="G21" s="831" t="s">
        <v>4004</v>
      </c>
    </row>
    <row r="22" spans="2:7">
      <c r="D22" s="830"/>
    </row>
    <row r="23" spans="2:7">
      <c r="D23" s="830"/>
    </row>
    <row r="24" spans="2:7">
      <c r="D24" s="830"/>
      <c r="E24" s="831" t="s">
        <v>2505</v>
      </c>
      <c r="F24" s="831" t="s">
        <v>2486</v>
      </c>
    </row>
    <row r="25" spans="2:7">
      <c r="E25" s="831" t="s">
        <v>2493</v>
      </c>
      <c r="F25" s="831" t="s">
        <v>4005</v>
      </c>
    </row>
    <row r="26" spans="2:7">
      <c r="E26" s="831" t="s">
        <v>2498</v>
      </c>
      <c r="F26" s="831" t="s">
        <v>4006</v>
      </c>
    </row>
    <row r="27" spans="2:7">
      <c r="E27" s="831" t="s">
        <v>251</v>
      </c>
      <c r="F27" s="831" t="s">
        <v>4007</v>
      </c>
    </row>
    <row r="28" spans="2:7">
      <c r="E28" s="831" t="s">
        <v>2495</v>
      </c>
      <c r="F28" s="831" t="s">
        <v>4008</v>
      </c>
    </row>
    <row r="29" spans="2:7">
      <c r="E29" s="831" t="s">
        <v>4009</v>
      </c>
      <c r="F29" s="831" t="s">
        <v>1773</v>
      </c>
    </row>
    <row r="30" spans="2:7">
      <c r="E30" s="831" t="s">
        <v>3438</v>
      </c>
      <c r="F30" s="831" t="s">
        <v>124</v>
      </c>
    </row>
    <row r="37" spans="3:7" ht="15.75">
      <c r="C37" s="817" t="s">
        <v>4010</v>
      </c>
      <c r="D37" s="1417">
        <v>450</v>
      </c>
      <c r="E37" s="816" t="s">
        <v>212</v>
      </c>
      <c r="F37" s="816"/>
      <c r="G37" s="816"/>
    </row>
    <row r="38" spans="3:7" ht="15.75">
      <c r="C38" s="817" t="s">
        <v>4011</v>
      </c>
      <c r="D38" s="1417">
        <v>325</v>
      </c>
      <c r="E38" s="816" t="s">
        <v>212</v>
      </c>
      <c r="F38" s="816"/>
      <c r="G38" s="816"/>
    </row>
    <row r="39" spans="3:7">
      <c r="C39" s="817"/>
      <c r="D39" s="816"/>
      <c r="E39" s="816"/>
      <c r="F39" s="816"/>
      <c r="G39" s="816"/>
    </row>
    <row r="40" spans="3:7">
      <c r="C40" s="817" t="s">
        <v>4012</v>
      </c>
      <c r="D40" s="1417">
        <v>750</v>
      </c>
      <c r="E40" s="816" t="s">
        <v>212</v>
      </c>
      <c r="F40" s="816"/>
      <c r="G40" s="816"/>
    </row>
    <row r="41" spans="3:7">
      <c r="C41" s="817" t="s">
        <v>4013</v>
      </c>
      <c r="D41" s="1417">
        <v>30</v>
      </c>
      <c r="E41" s="816" t="s">
        <v>212</v>
      </c>
      <c r="F41" s="816"/>
      <c r="G41" s="816"/>
    </row>
    <row r="42" spans="3:7">
      <c r="C42" s="816"/>
      <c r="D42" s="816"/>
      <c r="E42" s="816"/>
      <c r="F42" s="816"/>
      <c r="G42" s="816"/>
    </row>
    <row r="43" spans="3:7">
      <c r="C43" s="816" t="s">
        <v>4014</v>
      </c>
      <c r="D43" s="816"/>
      <c r="E43" s="816"/>
      <c r="F43" s="816"/>
      <c r="G43" s="816"/>
    </row>
    <row r="44" spans="3:7">
      <c r="C44" s="816"/>
      <c r="D44" s="816"/>
      <c r="E44" s="816"/>
      <c r="F44" s="816"/>
      <c r="G44" s="816"/>
    </row>
    <row r="45" spans="3:7">
      <c r="C45" s="817" t="s">
        <v>4015</v>
      </c>
      <c r="D45" s="816">
        <v>0.04</v>
      </c>
      <c r="E45" s="816"/>
      <c r="F45" s="816"/>
      <c r="G45" s="816"/>
    </row>
    <row r="46" spans="3:7">
      <c r="C46" s="817" t="s">
        <v>93</v>
      </c>
      <c r="D46" s="817" t="s">
        <v>4016</v>
      </c>
      <c r="E46" s="816"/>
      <c r="F46" s="816"/>
      <c r="G46" s="816"/>
    </row>
    <row r="47" spans="3:7">
      <c r="C47" s="817"/>
      <c r="D47" s="816" t="s">
        <v>4017</v>
      </c>
      <c r="E47" s="816"/>
      <c r="F47" s="816"/>
      <c r="G47" s="816"/>
    </row>
    <row r="48" spans="3:7">
      <c r="C48" s="817"/>
      <c r="D48" s="816"/>
      <c r="E48" s="816"/>
      <c r="F48" s="816"/>
      <c r="G48" s="816"/>
    </row>
    <row r="49" spans="3:7" ht="15.75">
      <c r="C49" s="817" t="s">
        <v>4018</v>
      </c>
      <c r="D49" s="816">
        <v>18</v>
      </c>
      <c r="E49" s="816" t="s">
        <v>212</v>
      </c>
      <c r="F49" s="816" t="s">
        <v>4019</v>
      </c>
      <c r="G49" s="816"/>
    </row>
    <row r="50" spans="3:7" ht="15.75">
      <c r="C50" s="817" t="s">
        <v>4020</v>
      </c>
      <c r="D50" s="816">
        <v>13</v>
      </c>
      <c r="E50" s="816" t="s">
        <v>212</v>
      </c>
      <c r="F50" s="816" t="s">
        <v>4021</v>
      </c>
      <c r="G50" s="816"/>
    </row>
    <row r="51" spans="3:7">
      <c r="C51" s="817"/>
      <c r="D51" s="816"/>
      <c r="E51" s="816"/>
      <c r="F51" s="816"/>
      <c r="G51" s="816"/>
    </row>
    <row r="52" spans="3:7">
      <c r="C52" s="817" t="s">
        <v>2680</v>
      </c>
      <c r="D52" s="816">
        <v>26</v>
      </c>
      <c r="E52" s="816"/>
      <c r="F52" s="816" t="s">
        <v>4022</v>
      </c>
      <c r="G52" s="816"/>
    </row>
    <row r="53" spans="3:7">
      <c r="C53" s="817" t="s">
        <v>4023</v>
      </c>
      <c r="D53" s="816">
        <v>1.04</v>
      </c>
      <c r="E53" s="816"/>
      <c r="F53" s="816" t="s">
        <v>4024</v>
      </c>
      <c r="G53" s="816"/>
    </row>
    <row r="54" spans="3:7">
      <c r="C54" s="817"/>
      <c r="D54" s="816"/>
      <c r="E54" s="816"/>
      <c r="F54" s="816"/>
      <c r="G54" s="816"/>
    </row>
    <row r="55" spans="3:7">
      <c r="C55" s="817" t="s">
        <v>4025</v>
      </c>
      <c r="D55" s="816">
        <v>28.846153846153847</v>
      </c>
      <c r="E55" s="816" t="s">
        <v>212</v>
      </c>
      <c r="F55" s="816" t="s">
        <v>4026</v>
      </c>
      <c r="G55" s="816"/>
    </row>
    <row r="56" spans="3:7">
      <c r="C56" s="817" t="s">
        <v>4027</v>
      </c>
      <c r="D56" s="816">
        <v>28.846153846153847</v>
      </c>
      <c r="E56" s="816" t="s">
        <v>212</v>
      </c>
      <c r="F56" s="816" t="s">
        <v>4028</v>
      </c>
      <c r="G56" s="816"/>
    </row>
    <row r="57" spans="3:7">
      <c r="C57" s="817"/>
      <c r="D57" s="816"/>
      <c r="E57" s="816"/>
      <c r="F57" s="816"/>
      <c r="G57" s="816"/>
    </row>
  </sheetData>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J36" sqref="J36"/>
    </sheetView>
  </sheetViews>
  <sheetFormatPr baseColWidth="10" defaultRowHeight="12.75"/>
  <sheetData>
    <row r="1" spans="1:8">
      <c r="A1" s="24"/>
      <c r="B1" s="24"/>
      <c r="C1" s="24"/>
      <c r="D1" s="24"/>
      <c r="E1" s="24"/>
      <c r="F1" s="24"/>
      <c r="G1" s="24"/>
      <c r="H1" s="24"/>
    </row>
    <row r="2" spans="1:8">
      <c r="A2" s="24"/>
      <c r="B2" s="65" t="s">
        <v>191</v>
      </c>
      <c r="C2" s="24"/>
      <c r="D2" s="24"/>
      <c r="E2" s="24"/>
      <c r="F2" s="24"/>
      <c r="G2" s="24"/>
      <c r="H2" s="24"/>
    </row>
    <row r="3" spans="1:8">
      <c r="A3" s="24"/>
      <c r="B3" s="24"/>
      <c r="C3" s="24"/>
      <c r="D3" s="24"/>
      <c r="E3" s="24"/>
      <c r="F3" s="24"/>
      <c r="G3" s="24"/>
      <c r="H3" s="24"/>
    </row>
    <row r="4" spans="1:8">
      <c r="A4" s="24"/>
      <c r="B4" s="24" t="s">
        <v>176</v>
      </c>
      <c r="C4" s="24"/>
      <c r="D4" s="24"/>
      <c r="E4" s="24"/>
      <c r="F4" s="24"/>
      <c r="G4" s="24"/>
      <c r="H4" s="24"/>
    </row>
    <row r="5" spans="1:8">
      <c r="A5" s="24"/>
      <c r="B5" s="24" t="s">
        <v>178</v>
      </c>
      <c r="C5" s="24"/>
      <c r="D5" s="24"/>
      <c r="E5" s="24"/>
      <c r="F5" s="24"/>
      <c r="G5" s="24"/>
      <c r="H5" s="24"/>
    </row>
    <row r="6" spans="1:8">
      <c r="A6" s="24"/>
      <c r="B6" s="24" t="s">
        <v>190</v>
      </c>
      <c r="C6" s="24"/>
      <c r="D6" s="24"/>
      <c r="E6" s="24"/>
      <c r="F6" s="24"/>
      <c r="G6" s="24"/>
      <c r="H6" s="24"/>
    </row>
    <row r="7" spans="1:8">
      <c r="A7" s="24"/>
      <c r="B7" s="24" t="s">
        <v>177</v>
      </c>
      <c r="C7" s="24"/>
      <c r="D7" s="24"/>
      <c r="E7" s="24"/>
      <c r="F7" s="24"/>
      <c r="G7" s="24"/>
      <c r="H7" s="24"/>
    </row>
    <row r="8" spans="1:8">
      <c r="A8" s="24"/>
      <c r="B8" s="24"/>
      <c r="C8" s="24"/>
      <c r="D8" s="24"/>
      <c r="E8" s="24"/>
      <c r="F8" s="24"/>
      <c r="G8" s="24"/>
      <c r="H8" s="24"/>
    </row>
    <row r="9" spans="1:8">
      <c r="A9" s="24"/>
      <c r="B9" s="24" t="s">
        <v>179</v>
      </c>
      <c r="C9" s="24"/>
      <c r="D9" s="24"/>
      <c r="E9" s="24"/>
      <c r="F9" s="24"/>
      <c r="G9" s="24"/>
      <c r="H9" s="24"/>
    </row>
    <row r="10" spans="1:8">
      <c r="A10" s="24"/>
      <c r="B10" s="24" t="s">
        <v>189</v>
      </c>
      <c r="C10" s="24"/>
      <c r="D10" s="24"/>
      <c r="E10" s="24"/>
      <c r="F10" s="24"/>
      <c r="G10" s="24"/>
      <c r="H10" s="24"/>
    </row>
    <row r="11" spans="1:8">
      <c r="A11" s="24"/>
      <c r="B11" s="24"/>
      <c r="C11" s="24"/>
      <c r="D11" s="24"/>
      <c r="E11" s="24"/>
      <c r="F11" s="24"/>
      <c r="G11" s="24"/>
      <c r="H11" s="24"/>
    </row>
    <row r="12" spans="1:8">
      <c r="A12" s="24"/>
      <c r="B12" s="24" t="s">
        <v>180</v>
      </c>
      <c r="C12" s="24"/>
      <c r="D12" s="24"/>
      <c r="E12" s="24"/>
      <c r="F12" s="24"/>
      <c r="G12" s="24"/>
      <c r="H12" s="24"/>
    </row>
    <row r="13" spans="1:8">
      <c r="A13" s="24"/>
      <c r="B13" s="24" t="s">
        <v>181</v>
      </c>
      <c r="C13" s="24"/>
      <c r="D13" s="24"/>
      <c r="E13" s="24"/>
      <c r="F13" s="24"/>
      <c r="G13" s="24"/>
      <c r="H13" s="24"/>
    </row>
    <row r="14" spans="1:8">
      <c r="A14" s="24"/>
      <c r="B14" s="24"/>
      <c r="C14" s="24"/>
      <c r="D14" s="24"/>
      <c r="E14" s="24"/>
      <c r="F14" s="24"/>
      <c r="G14" s="24"/>
      <c r="H14" s="24"/>
    </row>
    <row r="15" spans="1:8">
      <c r="A15" s="24"/>
      <c r="B15" s="24" t="s">
        <v>182</v>
      </c>
      <c r="C15" s="24"/>
      <c r="D15" s="24"/>
      <c r="E15" s="24"/>
      <c r="F15" s="24"/>
      <c r="G15" s="24"/>
      <c r="H15" s="24"/>
    </row>
    <row r="16" spans="1:8">
      <c r="A16" s="24"/>
      <c r="B16" s="24" t="s">
        <v>184</v>
      </c>
      <c r="C16" s="24"/>
      <c r="D16" s="24"/>
      <c r="E16" s="24"/>
      <c r="F16" s="24"/>
      <c r="G16" s="24"/>
      <c r="H16" s="24"/>
    </row>
    <row r="17" spans="1:8">
      <c r="A17" s="24"/>
      <c r="B17" s="24" t="s">
        <v>183</v>
      </c>
      <c r="C17" s="24"/>
      <c r="D17" s="24"/>
      <c r="E17" s="24"/>
      <c r="F17" s="24"/>
      <c r="G17" s="24"/>
      <c r="H17" s="24"/>
    </row>
    <row r="18" spans="1:8">
      <c r="A18" s="24"/>
      <c r="B18" s="24"/>
      <c r="C18" s="24"/>
      <c r="D18" s="24"/>
      <c r="E18" s="24"/>
      <c r="F18" s="24"/>
      <c r="G18" s="24"/>
      <c r="H18" s="24"/>
    </row>
    <row r="19" spans="1:8">
      <c r="A19" s="24"/>
      <c r="B19" s="24" t="s">
        <v>185</v>
      </c>
      <c r="C19" s="24"/>
      <c r="D19" s="24"/>
      <c r="E19" s="24"/>
      <c r="F19" s="24"/>
      <c r="G19" s="24"/>
      <c r="H19" s="24"/>
    </row>
    <row r="20" spans="1:8">
      <c r="A20" s="24"/>
      <c r="B20" s="24" t="s">
        <v>186</v>
      </c>
      <c r="C20" s="24"/>
      <c r="D20" s="24"/>
      <c r="E20" s="24"/>
      <c r="F20" s="24"/>
      <c r="G20" s="24"/>
      <c r="H20" s="24"/>
    </row>
    <row r="21" spans="1:8">
      <c r="A21" s="24"/>
      <c r="B21" s="24" t="s">
        <v>187</v>
      </c>
      <c r="C21" s="24"/>
      <c r="D21" s="24"/>
      <c r="E21" s="24"/>
      <c r="F21" s="24"/>
      <c r="G21" s="24"/>
      <c r="H21" s="24"/>
    </row>
    <row r="22" spans="1:8">
      <c r="A22" s="24"/>
      <c r="B22" s="24" t="s">
        <v>188</v>
      </c>
      <c r="C22" s="24"/>
      <c r="D22" s="24"/>
      <c r="E22" s="24"/>
      <c r="F22" s="24"/>
      <c r="G22" s="24"/>
      <c r="H22" s="24"/>
    </row>
    <row r="23" spans="1:8">
      <c r="A23" s="24"/>
      <c r="B23" s="24"/>
      <c r="C23" s="24"/>
      <c r="D23" s="24"/>
      <c r="E23" s="24"/>
      <c r="F23" s="24"/>
      <c r="G23" s="24"/>
      <c r="H23" s="24"/>
    </row>
    <row r="24" spans="1:8">
      <c r="A24" s="24"/>
      <c r="B24" s="24"/>
      <c r="C24" s="24"/>
      <c r="D24" s="24"/>
      <c r="E24" s="24"/>
      <c r="F24" s="24"/>
      <c r="G24" s="24"/>
      <c r="H24" s="24"/>
    </row>
    <row r="25" spans="1:8">
      <c r="A25" s="24"/>
      <c r="B25" s="65" t="s">
        <v>207</v>
      </c>
      <c r="C25" s="24"/>
      <c r="D25" s="24"/>
      <c r="E25" s="24"/>
      <c r="F25" s="24"/>
      <c r="G25" s="24"/>
      <c r="H25" s="24"/>
    </row>
    <row r="26" spans="1:8">
      <c r="A26" s="24"/>
      <c r="B26" s="24"/>
      <c r="C26" s="24"/>
      <c r="D26" s="24"/>
      <c r="E26" s="24"/>
      <c r="F26" s="24"/>
      <c r="G26" s="24"/>
      <c r="H26" s="24"/>
    </row>
    <row r="27" spans="1:8">
      <c r="A27" s="24"/>
      <c r="B27" s="24" t="s">
        <v>192</v>
      </c>
      <c r="C27" s="24"/>
      <c r="D27" s="24"/>
      <c r="E27" s="24"/>
      <c r="F27" s="24"/>
      <c r="G27" s="24"/>
      <c r="H27" s="24"/>
    </row>
    <row r="28" spans="1:8">
      <c r="A28" s="24"/>
      <c r="B28" s="24" t="s">
        <v>193</v>
      </c>
      <c r="C28" s="24"/>
      <c r="D28" s="24"/>
      <c r="E28" s="24"/>
      <c r="F28" s="24"/>
      <c r="G28" s="24"/>
      <c r="H28" s="24"/>
    </row>
    <row r="29" spans="1:8">
      <c r="A29" s="24"/>
      <c r="B29" s="24" t="s">
        <v>194</v>
      </c>
      <c r="C29" s="24"/>
      <c r="D29" s="24"/>
      <c r="E29" s="24"/>
      <c r="F29" s="24"/>
      <c r="G29" s="24"/>
      <c r="H29" s="24"/>
    </row>
    <row r="30" spans="1:8">
      <c r="A30" s="24"/>
      <c r="B30" s="24"/>
      <c r="C30" s="24"/>
      <c r="D30" s="24"/>
      <c r="E30" s="24"/>
      <c r="F30" s="24"/>
      <c r="G30" s="24"/>
      <c r="H30" s="24"/>
    </row>
    <row r="31" spans="1:8">
      <c r="A31" s="24"/>
      <c r="B31" s="24" t="s">
        <v>198</v>
      </c>
      <c r="C31" s="24"/>
      <c r="D31" s="24"/>
      <c r="E31" s="24"/>
      <c r="F31" s="24"/>
      <c r="G31" s="24"/>
      <c r="H31" s="24"/>
    </row>
    <row r="32" spans="1:8">
      <c r="A32" s="24"/>
      <c r="B32" s="24" t="s">
        <v>199</v>
      </c>
      <c r="C32" s="24"/>
      <c r="D32" s="24"/>
      <c r="E32" s="24"/>
      <c r="F32" s="24"/>
      <c r="G32" s="24"/>
      <c r="H32" s="24"/>
    </row>
    <row r="33" spans="1:8">
      <c r="A33" s="24"/>
      <c r="B33" s="24" t="s">
        <v>200</v>
      </c>
      <c r="C33" s="24"/>
      <c r="D33" s="24"/>
      <c r="E33" s="24"/>
      <c r="F33" s="24"/>
      <c r="G33" s="24"/>
      <c r="H33" s="24"/>
    </row>
    <row r="34" spans="1:8">
      <c r="A34" s="24"/>
      <c r="B34" s="24" t="s">
        <v>201</v>
      </c>
      <c r="C34" s="24"/>
      <c r="D34" s="24"/>
      <c r="E34" s="24"/>
      <c r="F34" s="24"/>
      <c r="G34" s="24"/>
      <c r="H34" s="24"/>
    </row>
    <row r="35" spans="1:8">
      <c r="A35" s="24"/>
      <c r="B35" s="24"/>
      <c r="C35" s="24"/>
      <c r="D35" s="24"/>
      <c r="E35" s="24"/>
      <c r="F35" s="24"/>
      <c r="G35" s="24"/>
      <c r="H35" s="24"/>
    </row>
    <row r="36" spans="1:8">
      <c r="A36" s="24"/>
      <c r="B36" s="24" t="s">
        <v>195</v>
      </c>
      <c r="C36" s="24"/>
      <c r="D36" s="24"/>
      <c r="E36" s="24"/>
      <c r="F36" s="24"/>
      <c r="G36" s="24"/>
      <c r="H36" s="24"/>
    </row>
    <row r="37" spans="1:8">
      <c r="A37" s="24"/>
      <c r="B37" s="24" t="s">
        <v>206</v>
      </c>
      <c r="C37" s="24"/>
      <c r="D37" s="24"/>
      <c r="E37" s="24"/>
      <c r="F37" s="24"/>
      <c r="G37" s="24"/>
      <c r="H37" s="24"/>
    </row>
    <row r="38" spans="1:8">
      <c r="A38" s="24"/>
      <c r="B38" s="24" t="s">
        <v>196</v>
      </c>
      <c r="C38" s="24"/>
      <c r="D38" s="24"/>
      <c r="E38" s="24"/>
      <c r="F38" s="24"/>
      <c r="G38" s="24"/>
      <c r="H38" s="24"/>
    </row>
    <row r="39" spans="1:8">
      <c r="A39" s="24"/>
      <c r="B39" s="24" t="s">
        <v>197</v>
      </c>
      <c r="C39" s="24"/>
      <c r="D39" s="24"/>
      <c r="E39" s="24"/>
      <c r="F39" s="24"/>
      <c r="G39" s="24"/>
      <c r="H39" s="24"/>
    </row>
    <row r="40" spans="1:8">
      <c r="A40" s="24"/>
      <c r="C40" s="24"/>
      <c r="D40" s="24"/>
      <c r="E40" s="24"/>
      <c r="F40" s="24"/>
      <c r="G40" s="24"/>
      <c r="H40" s="24"/>
    </row>
    <row r="41" spans="1:8">
      <c r="A41" s="24"/>
      <c r="B41" s="24" t="s">
        <v>202</v>
      </c>
      <c r="C41" s="24"/>
      <c r="D41" s="24"/>
      <c r="E41" s="24"/>
      <c r="F41" s="24"/>
      <c r="G41" s="24"/>
      <c r="H41" s="24"/>
    </row>
    <row r="42" spans="1:8">
      <c r="A42" s="24"/>
      <c r="B42" s="24" t="s">
        <v>203</v>
      </c>
      <c r="C42" s="24"/>
      <c r="D42" s="24"/>
      <c r="E42" s="24"/>
      <c r="F42" s="24"/>
      <c r="G42" s="24"/>
      <c r="H42" s="24"/>
    </row>
    <row r="43" spans="1:8">
      <c r="A43" s="24"/>
      <c r="B43" s="24" t="s">
        <v>204</v>
      </c>
      <c r="C43" s="24"/>
      <c r="D43" s="24"/>
      <c r="E43" s="24"/>
      <c r="F43" s="24"/>
      <c r="G43" s="24"/>
      <c r="H43" s="24"/>
    </row>
    <row r="44" spans="1:8">
      <c r="A44" s="24"/>
      <c r="B44" s="24" t="s">
        <v>205</v>
      </c>
      <c r="C44" s="24"/>
      <c r="D44" s="24"/>
      <c r="E44" s="24"/>
      <c r="F44" s="24"/>
      <c r="G44" s="24"/>
      <c r="H44" s="24"/>
    </row>
    <row r="45" spans="1:8">
      <c r="A45" s="24"/>
      <c r="B45" s="24"/>
      <c r="C45" s="24"/>
      <c r="D45" s="24"/>
      <c r="E45" s="24"/>
      <c r="F45" s="24"/>
      <c r="G45" s="24"/>
      <c r="H45" s="24"/>
    </row>
    <row r="46" spans="1:8">
      <c r="A46" s="24"/>
      <c r="B46" s="24"/>
      <c r="C46" s="24"/>
      <c r="D46" s="24"/>
      <c r="E46" s="24"/>
      <c r="F46" s="24"/>
      <c r="G46" s="24"/>
      <c r="H46" s="24"/>
    </row>
    <row r="47" spans="1:8">
      <c r="A47" s="24"/>
      <c r="B47" s="24"/>
      <c r="C47" s="24"/>
      <c r="D47" s="24"/>
      <c r="E47" s="24"/>
      <c r="F47" s="24"/>
      <c r="G47" s="24"/>
      <c r="H47" s="24"/>
    </row>
    <row r="48" spans="1:8">
      <c r="A48" s="24"/>
      <c r="B48" s="24"/>
      <c r="C48" s="24"/>
      <c r="D48" s="24"/>
      <c r="E48" s="24"/>
      <c r="F48" s="24"/>
      <c r="G48" s="24"/>
      <c r="H48" s="24"/>
    </row>
    <row r="49" spans="1:8">
      <c r="A49" s="24"/>
      <c r="B49" s="24"/>
      <c r="C49" s="24"/>
      <c r="D49" s="24"/>
      <c r="E49" s="24"/>
      <c r="F49" s="24"/>
      <c r="G49" s="24"/>
      <c r="H49" s="24"/>
    </row>
  </sheetData>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P39" sqref="P39"/>
    </sheetView>
  </sheetViews>
  <sheetFormatPr baseColWidth="10" defaultRowHeight="12.75"/>
  <cols>
    <col min="1" max="3" width="11.42578125" style="831"/>
    <col min="4" max="4" width="8" style="831" customWidth="1"/>
    <col min="5" max="5" width="7.140625" style="831" bestFit="1" customWidth="1"/>
    <col min="6" max="7" width="11.42578125" style="831"/>
    <col min="8" max="8" width="16" style="831" customWidth="1"/>
    <col min="9" max="259" width="11.42578125" style="831"/>
    <col min="260" max="260" width="8" style="831" customWidth="1"/>
    <col min="261" max="261" width="7.140625" style="831" bestFit="1" customWidth="1"/>
    <col min="262" max="263" width="11.42578125" style="831"/>
    <col min="264" max="264" width="16" style="831" customWidth="1"/>
    <col min="265" max="515" width="11.42578125" style="831"/>
    <col min="516" max="516" width="8" style="831" customWidth="1"/>
    <col min="517" max="517" width="7.140625" style="831" bestFit="1" customWidth="1"/>
    <col min="518" max="519" width="11.42578125" style="831"/>
    <col min="520" max="520" width="16" style="831" customWidth="1"/>
    <col min="521" max="771" width="11.42578125" style="831"/>
    <col min="772" max="772" width="8" style="831" customWidth="1"/>
    <col min="773" max="773" width="7.140625" style="831" bestFit="1" customWidth="1"/>
    <col min="774" max="775" width="11.42578125" style="831"/>
    <col min="776" max="776" width="16" style="831" customWidth="1"/>
    <col min="777" max="1027" width="11.42578125" style="831"/>
    <col min="1028" max="1028" width="8" style="831" customWidth="1"/>
    <col min="1029" max="1029" width="7.140625" style="831" bestFit="1" customWidth="1"/>
    <col min="1030" max="1031" width="11.42578125" style="831"/>
    <col min="1032" max="1032" width="16" style="831" customWidth="1"/>
    <col min="1033" max="1283" width="11.42578125" style="831"/>
    <col min="1284" max="1284" width="8" style="831" customWidth="1"/>
    <col min="1285" max="1285" width="7.140625" style="831" bestFit="1" customWidth="1"/>
    <col min="1286" max="1287" width="11.42578125" style="831"/>
    <col min="1288" max="1288" width="16" style="831" customWidth="1"/>
    <col min="1289" max="1539" width="11.42578125" style="831"/>
    <col min="1540" max="1540" width="8" style="831" customWidth="1"/>
    <col min="1541" max="1541" width="7.140625" style="831" bestFit="1" customWidth="1"/>
    <col min="1542" max="1543" width="11.42578125" style="831"/>
    <col min="1544" max="1544" width="16" style="831" customWidth="1"/>
    <col min="1545" max="1795" width="11.42578125" style="831"/>
    <col min="1796" max="1796" width="8" style="831" customWidth="1"/>
    <col min="1797" max="1797" width="7.140625" style="831" bestFit="1" customWidth="1"/>
    <col min="1798" max="1799" width="11.42578125" style="831"/>
    <col min="1800" max="1800" width="16" style="831" customWidth="1"/>
    <col min="1801" max="2051" width="11.42578125" style="831"/>
    <col min="2052" max="2052" width="8" style="831" customWidth="1"/>
    <col min="2053" max="2053" width="7.140625" style="831" bestFit="1" customWidth="1"/>
    <col min="2054" max="2055" width="11.42578125" style="831"/>
    <col min="2056" max="2056" width="16" style="831" customWidth="1"/>
    <col min="2057" max="2307" width="11.42578125" style="831"/>
    <col min="2308" max="2308" width="8" style="831" customWidth="1"/>
    <col min="2309" max="2309" width="7.140625" style="831" bestFit="1" customWidth="1"/>
    <col min="2310" max="2311" width="11.42578125" style="831"/>
    <col min="2312" max="2312" width="16" style="831" customWidth="1"/>
    <col min="2313" max="2563" width="11.42578125" style="831"/>
    <col min="2564" max="2564" width="8" style="831" customWidth="1"/>
    <col min="2565" max="2565" width="7.140625" style="831" bestFit="1" customWidth="1"/>
    <col min="2566" max="2567" width="11.42578125" style="831"/>
    <col min="2568" max="2568" width="16" style="831" customWidth="1"/>
    <col min="2569" max="2819" width="11.42578125" style="831"/>
    <col min="2820" max="2820" width="8" style="831" customWidth="1"/>
    <col min="2821" max="2821" width="7.140625" style="831" bestFit="1" customWidth="1"/>
    <col min="2822" max="2823" width="11.42578125" style="831"/>
    <col min="2824" max="2824" width="16" style="831" customWidth="1"/>
    <col min="2825" max="3075" width="11.42578125" style="831"/>
    <col min="3076" max="3076" width="8" style="831" customWidth="1"/>
    <col min="3077" max="3077" width="7.140625" style="831" bestFit="1" customWidth="1"/>
    <col min="3078" max="3079" width="11.42578125" style="831"/>
    <col min="3080" max="3080" width="16" style="831" customWidth="1"/>
    <col min="3081" max="3331" width="11.42578125" style="831"/>
    <col min="3332" max="3332" width="8" style="831" customWidth="1"/>
    <col min="3333" max="3333" width="7.140625" style="831" bestFit="1" customWidth="1"/>
    <col min="3334" max="3335" width="11.42578125" style="831"/>
    <col min="3336" max="3336" width="16" style="831" customWidth="1"/>
    <col min="3337" max="3587" width="11.42578125" style="831"/>
    <col min="3588" max="3588" width="8" style="831" customWidth="1"/>
    <col min="3589" max="3589" width="7.140625" style="831" bestFit="1" customWidth="1"/>
    <col min="3590" max="3591" width="11.42578125" style="831"/>
    <col min="3592" max="3592" width="16" style="831" customWidth="1"/>
    <col min="3593" max="3843" width="11.42578125" style="831"/>
    <col min="3844" max="3844" width="8" style="831" customWidth="1"/>
    <col min="3845" max="3845" width="7.140625" style="831" bestFit="1" customWidth="1"/>
    <col min="3846" max="3847" width="11.42578125" style="831"/>
    <col min="3848" max="3848" width="16" style="831" customWidth="1"/>
    <col min="3849" max="4099" width="11.42578125" style="831"/>
    <col min="4100" max="4100" width="8" style="831" customWidth="1"/>
    <col min="4101" max="4101" width="7.140625" style="831" bestFit="1" customWidth="1"/>
    <col min="4102" max="4103" width="11.42578125" style="831"/>
    <col min="4104" max="4104" width="16" style="831" customWidth="1"/>
    <col min="4105" max="4355" width="11.42578125" style="831"/>
    <col min="4356" max="4356" width="8" style="831" customWidth="1"/>
    <col min="4357" max="4357" width="7.140625" style="831" bestFit="1" customWidth="1"/>
    <col min="4358" max="4359" width="11.42578125" style="831"/>
    <col min="4360" max="4360" width="16" style="831" customWidth="1"/>
    <col min="4361" max="4611" width="11.42578125" style="831"/>
    <col min="4612" max="4612" width="8" style="831" customWidth="1"/>
    <col min="4613" max="4613" width="7.140625" style="831" bestFit="1" customWidth="1"/>
    <col min="4614" max="4615" width="11.42578125" style="831"/>
    <col min="4616" max="4616" width="16" style="831" customWidth="1"/>
    <col min="4617" max="4867" width="11.42578125" style="831"/>
    <col min="4868" max="4868" width="8" style="831" customWidth="1"/>
    <col min="4869" max="4869" width="7.140625" style="831" bestFit="1" customWidth="1"/>
    <col min="4870" max="4871" width="11.42578125" style="831"/>
    <col min="4872" max="4872" width="16" style="831" customWidth="1"/>
    <col min="4873" max="5123" width="11.42578125" style="831"/>
    <col min="5124" max="5124" width="8" style="831" customWidth="1"/>
    <col min="5125" max="5125" width="7.140625" style="831" bestFit="1" customWidth="1"/>
    <col min="5126" max="5127" width="11.42578125" style="831"/>
    <col min="5128" max="5128" width="16" style="831" customWidth="1"/>
    <col min="5129" max="5379" width="11.42578125" style="831"/>
    <col min="5380" max="5380" width="8" style="831" customWidth="1"/>
    <col min="5381" max="5381" width="7.140625" style="831" bestFit="1" customWidth="1"/>
    <col min="5382" max="5383" width="11.42578125" style="831"/>
    <col min="5384" max="5384" width="16" style="831" customWidth="1"/>
    <col min="5385" max="5635" width="11.42578125" style="831"/>
    <col min="5636" max="5636" width="8" style="831" customWidth="1"/>
    <col min="5637" max="5637" width="7.140625" style="831" bestFit="1" customWidth="1"/>
    <col min="5638" max="5639" width="11.42578125" style="831"/>
    <col min="5640" max="5640" width="16" style="831" customWidth="1"/>
    <col min="5641" max="5891" width="11.42578125" style="831"/>
    <col min="5892" max="5892" width="8" style="831" customWidth="1"/>
    <col min="5893" max="5893" width="7.140625" style="831" bestFit="1" customWidth="1"/>
    <col min="5894" max="5895" width="11.42578125" style="831"/>
    <col min="5896" max="5896" width="16" style="831" customWidth="1"/>
    <col min="5897" max="6147" width="11.42578125" style="831"/>
    <col min="6148" max="6148" width="8" style="831" customWidth="1"/>
    <col min="6149" max="6149" width="7.140625" style="831" bestFit="1" customWidth="1"/>
    <col min="6150" max="6151" width="11.42578125" style="831"/>
    <col min="6152" max="6152" width="16" style="831" customWidth="1"/>
    <col min="6153" max="6403" width="11.42578125" style="831"/>
    <col min="6404" max="6404" width="8" style="831" customWidth="1"/>
    <col min="6405" max="6405" width="7.140625" style="831" bestFit="1" customWidth="1"/>
    <col min="6406" max="6407" width="11.42578125" style="831"/>
    <col min="6408" max="6408" width="16" style="831" customWidth="1"/>
    <col min="6409" max="6659" width="11.42578125" style="831"/>
    <col min="6660" max="6660" width="8" style="831" customWidth="1"/>
    <col min="6661" max="6661" width="7.140625" style="831" bestFit="1" customWidth="1"/>
    <col min="6662" max="6663" width="11.42578125" style="831"/>
    <col min="6664" max="6664" width="16" style="831" customWidth="1"/>
    <col min="6665" max="6915" width="11.42578125" style="831"/>
    <col min="6916" max="6916" width="8" style="831" customWidth="1"/>
    <col min="6917" max="6917" width="7.140625" style="831" bestFit="1" customWidth="1"/>
    <col min="6918" max="6919" width="11.42578125" style="831"/>
    <col min="6920" max="6920" width="16" style="831" customWidth="1"/>
    <col min="6921" max="7171" width="11.42578125" style="831"/>
    <col min="7172" max="7172" width="8" style="831" customWidth="1"/>
    <col min="7173" max="7173" width="7.140625" style="831" bestFit="1" customWidth="1"/>
    <col min="7174" max="7175" width="11.42578125" style="831"/>
    <col min="7176" max="7176" width="16" style="831" customWidth="1"/>
    <col min="7177" max="7427" width="11.42578125" style="831"/>
    <col min="7428" max="7428" width="8" style="831" customWidth="1"/>
    <col min="7429" max="7429" width="7.140625" style="831" bestFit="1" customWidth="1"/>
    <col min="7430" max="7431" width="11.42578125" style="831"/>
    <col min="7432" max="7432" width="16" style="831" customWidth="1"/>
    <col min="7433" max="7683" width="11.42578125" style="831"/>
    <col min="7684" max="7684" width="8" style="831" customWidth="1"/>
    <col min="7685" max="7685" width="7.140625" style="831" bestFit="1" customWidth="1"/>
    <col min="7686" max="7687" width="11.42578125" style="831"/>
    <col min="7688" max="7688" width="16" style="831" customWidth="1"/>
    <col min="7689" max="7939" width="11.42578125" style="831"/>
    <col min="7940" max="7940" width="8" style="831" customWidth="1"/>
    <col min="7941" max="7941" width="7.140625" style="831" bestFit="1" customWidth="1"/>
    <col min="7942" max="7943" width="11.42578125" style="831"/>
    <col min="7944" max="7944" width="16" style="831" customWidth="1"/>
    <col min="7945" max="8195" width="11.42578125" style="831"/>
    <col min="8196" max="8196" width="8" style="831" customWidth="1"/>
    <col min="8197" max="8197" width="7.140625" style="831" bestFit="1" customWidth="1"/>
    <col min="8198" max="8199" width="11.42578125" style="831"/>
    <col min="8200" max="8200" width="16" style="831" customWidth="1"/>
    <col min="8201" max="8451" width="11.42578125" style="831"/>
    <col min="8452" max="8452" width="8" style="831" customWidth="1"/>
    <col min="8453" max="8453" width="7.140625" style="831" bestFit="1" customWidth="1"/>
    <col min="8454" max="8455" width="11.42578125" style="831"/>
    <col min="8456" max="8456" width="16" style="831" customWidth="1"/>
    <col min="8457" max="8707" width="11.42578125" style="831"/>
    <col min="8708" max="8708" width="8" style="831" customWidth="1"/>
    <col min="8709" max="8709" width="7.140625" style="831" bestFit="1" customWidth="1"/>
    <col min="8710" max="8711" width="11.42578125" style="831"/>
    <col min="8712" max="8712" width="16" style="831" customWidth="1"/>
    <col min="8713" max="8963" width="11.42578125" style="831"/>
    <col min="8964" max="8964" width="8" style="831" customWidth="1"/>
    <col min="8965" max="8965" width="7.140625" style="831" bestFit="1" customWidth="1"/>
    <col min="8966" max="8967" width="11.42578125" style="831"/>
    <col min="8968" max="8968" width="16" style="831" customWidth="1"/>
    <col min="8969" max="9219" width="11.42578125" style="831"/>
    <col min="9220" max="9220" width="8" style="831" customWidth="1"/>
    <col min="9221" max="9221" width="7.140625" style="831" bestFit="1" customWidth="1"/>
    <col min="9222" max="9223" width="11.42578125" style="831"/>
    <col min="9224" max="9224" width="16" style="831" customWidth="1"/>
    <col min="9225" max="9475" width="11.42578125" style="831"/>
    <col min="9476" max="9476" width="8" style="831" customWidth="1"/>
    <col min="9477" max="9477" width="7.140625" style="831" bestFit="1" customWidth="1"/>
    <col min="9478" max="9479" width="11.42578125" style="831"/>
    <col min="9480" max="9480" width="16" style="831" customWidth="1"/>
    <col min="9481" max="9731" width="11.42578125" style="831"/>
    <col min="9732" max="9732" width="8" style="831" customWidth="1"/>
    <col min="9733" max="9733" width="7.140625" style="831" bestFit="1" customWidth="1"/>
    <col min="9734" max="9735" width="11.42578125" style="831"/>
    <col min="9736" max="9736" width="16" style="831" customWidth="1"/>
    <col min="9737" max="9987" width="11.42578125" style="831"/>
    <col min="9988" max="9988" width="8" style="831" customWidth="1"/>
    <col min="9989" max="9989" width="7.140625" style="831" bestFit="1" customWidth="1"/>
    <col min="9990" max="9991" width="11.42578125" style="831"/>
    <col min="9992" max="9992" width="16" style="831" customWidth="1"/>
    <col min="9993" max="10243" width="11.42578125" style="831"/>
    <col min="10244" max="10244" width="8" style="831" customWidth="1"/>
    <col min="10245" max="10245" width="7.140625" style="831" bestFit="1" customWidth="1"/>
    <col min="10246" max="10247" width="11.42578125" style="831"/>
    <col min="10248" max="10248" width="16" style="831" customWidth="1"/>
    <col min="10249" max="10499" width="11.42578125" style="831"/>
    <col min="10500" max="10500" width="8" style="831" customWidth="1"/>
    <col min="10501" max="10501" width="7.140625" style="831" bestFit="1" customWidth="1"/>
    <col min="10502" max="10503" width="11.42578125" style="831"/>
    <col min="10504" max="10504" width="16" style="831" customWidth="1"/>
    <col min="10505" max="10755" width="11.42578125" style="831"/>
    <col min="10756" max="10756" width="8" style="831" customWidth="1"/>
    <col min="10757" max="10757" width="7.140625" style="831" bestFit="1" customWidth="1"/>
    <col min="10758" max="10759" width="11.42578125" style="831"/>
    <col min="10760" max="10760" width="16" style="831" customWidth="1"/>
    <col min="10761" max="11011" width="11.42578125" style="831"/>
    <col min="11012" max="11012" width="8" style="831" customWidth="1"/>
    <col min="11013" max="11013" width="7.140625" style="831" bestFit="1" customWidth="1"/>
    <col min="11014" max="11015" width="11.42578125" style="831"/>
    <col min="11016" max="11016" width="16" style="831" customWidth="1"/>
    <col min="11017" max="11267" width="11.42578125" style="831"/>
    <col min="11268" max="11268" width="8" style="831" customWidth="1"/>
    <col min="11269" max="11269" width="7.140625" style="831" bestFit="1" customWidth="1"/>
    <col min="11270" max="11271" width="11.42578125" style="831"/>
    <col min="11272" max="11272" width="16" style="831" customWidth="1"/>
    <col min="11273" max="11523" width="11.42578125" style="831"/>
    <col min="11524" max="11524" width="8" style="831" customWidth="1"/>
    <col min="11525" max="11525" width="7.140625" style="831" bestFit="1" customWidth="1"/>
    <col min="11526" max="11527" width="11.42578125" style="831"/>
    <col min="11528" max="11528" width="16" style="831" customWidth="1"/>
    <col min="11529" max="11779" width="11.42578125" style="831"/>
    <col min="11780" max="11780" width="8" style="831" customWidth="1"/>
    <col min="11781" max="11781" width="7.140625" style="831" bestFit="1" customWidth="1"/>
    <col min="11782" max="11783" width="11.42578125" style="831"/>
    <col min="11784" max="11784" width="16" style="831" customWidth="1"/>
    <col min="11785" max="12035" width="11.42578125" style="831"/>
    <col min="12036" max="12036" width="8" style="831" customWidth="1"/>
    <col min="12037" max="12037" width="7.140625" style="831" bestFit="1" customWidth="1"/>
    <col min="12038" max="12039" width="11.42578125" style="831"/>
    <col min="12040" max="12040" width="16" style="831" customWidth="1"/>
    <col min="12041" max="12291" width="11.42578125" style="831"/>
    <col min="12292" max="12292" width="8" style="831" customWidth="1"/>
    <col min="12293" max="12293" width="7.140625" style="831" bestFit="1" customWidth="1"/>
    <col min="12294" max="12295" width="11.42578125" style="831"/>
    <col min="12296" max="12296" width="16" style="831" customWidth="1"/>
    <col min="12297" max="12547" width="11.42578125" style="831"/>
    <col min="12548" max="12548" width="8" style="831" customWidth="1"/>
    <col min="12549" max="12549" width="7.140625" style="831" bestFit="1" customWidth="1"/>
    <col min="12550" max="12551" width="11.42578125" style="831"/>
    <col min="12552" max="12552" width="16" style="831" customWidth="1"/>
    <col min="12553" max="12803" width="11.42578125" style="831"/>
    <col min="12804" max="12804" width="8" style="831" customWidth="1"/>
    <col min="12805" max="12805" width="7.140625" style="831" bestFit="1" customWidth="1"/>
    <col min="12806" max="12807" width="11.42578125" style="831"/>
    <col min="12808" max="12808" width="16" style="831" customWidth="1"/>
    <col min="12809" max="13059" width="11.42578125" style="831"/>
    <col min="13060" max="13060" width="8" style="831" customWidth="1"/>
    <col min="13061" max="13061" width="7.140625" style="831" bestFit="1" customWidth="1"/>
    <col min="13062" max="13063" width="11.42578125" style="831"/>
    <col min="13064" max="13064" width="16" style="831" customWidth="1"/>
    <col min="13065" max="13315" width="11.42578125" style="831"/>
    <col min="13316" max="13316" width="8" style="831" customWidth="1"/>
    <col min="13317" max="13317" width="7.140625" style="831" bestFit="1" customWidth="1"/>
    <col min="13318" max="13319" width="11.42578125" style="831"/>
    <col min="13320" max="13320" width="16" style="831" customWidth="1"/>
    <col min="13321" max="13571" width="11.42578125" style="831"/>
    <col min="13572" max="13572" width="8" style="831" customWidth="1"/>
    <col min="13573" max="13573" width="7.140625" style="831" bestFit="1" customWidth="1"/>
    <col min="13574" max="13575" width="11.42578125" style="831"/>
    <col min="13576" max="13576" width="16" style="831" customWidth="1"/>
    <col min="13577" max="13827" width="11.42578125" style="831"/>
    <col min="13828" max="13828" width="8" style="831" customWidth="1"/>
    <col min="13829" max="13829" width="7.140625" style="831" bestFit="1" customWidth="1"/>
    <col min="13830" max="13831" width="11.42578125" style="831"/>
    <col min="13832" max="13832" width="16" style="831" customWidth="1"/>
    <col min="13833" max="14083" width="11.42578125" style="831"/>
    <col min="14084" max="14084" width="8" style="831" customWidth="1"/>
    <col min="14085" max="14085" width="7.140625" style="831" bestFit="1" customWidth="1"/>
    <col min="14086" max="14087" width="11.42578125" style="831"/>
    <col min="14088" max="14088" width="16" style="831" customWidth="1"/>
    <col min="14089" max="14339" width="11.42578125" style="831"/>
    <col min="14340" max="14340" width="8" style="831" customWidth="1"/>
    <col min="14341" max="14341" width="7.140625" style="831" bestFit="1" customWidth="1"/>
    <col min="14342" max="14343" width="11.42578125" style="831"/>
    <col min="14344" max="14344" width="16" style="831" customWidth="1"/>
    <col min="14345" max="14595" width="11.42578125" style="831"/>
    <col min="14596" max="14596" width="8" style="831" customWidth="1"/>
    <col min="14597" max="14597" width="7.140625" style="831" bestFit="1" customWidth="1"/>
    <col min="14598" max="14599" width="11.42578125" style="831"/>
    <col min="14600" max="14600" width="16" style="831" customWidth="1"/>
    <col min="14601" max="14851" width="11.42578125" style="831"/>
    <col min="14852" max="14852" width="8" style="831" customWidth="1"/>
    <col min="14853" max="14853" width="7.140625" style="831" bestFit="1" customWidth="1"/>
    <col min="14854" max="14855" width="11.42578125" style="831"/>
    <col min="14856" max="14856" width="16" style="831" customWidth="1"/>
    <col min="14857" max="15107" width="11.42578125" style="831"/>
    <col min="15108" max="15108" width="8" style="831" customWidth="1"/>
    <col min="15109" max="15109" width="7.140625" style="831" bestFit="1" customWidth="1"/>
    <col min="15110" max="15111" width="11.42578125" style="831"/>
    <col min="15112" max="15112" width="16" style="831" customWidth="1"/>
    <col min="15113" max="15363" width="11.42578125" style="831"/>
    <col min="15364" max="15364" width="8" style="831" customWidth="1"/>
    <col min="15365" max="15365" width="7.140625" style="831" bestFit="1" customWidth="1"/>
    <col min="15366" max="15367" width="11.42578125" style="831"/>
    <col min="15368" max="15368" width="16" style="831" customWidth="1"/>
    <col min="15369" max="15619" width="11.42578125" style="831"/>
    <col min="15620" max="15620" width="8" style="831" customWidth="1"/>
    <col min="15621" max="15621" width="7.140625" style="831" bestFit="1" customWidth="1"/>
    <col min="15622" max="15623" width="11.42578125" style="831"/>
    <col min="15624" max="15624" width="16" style="831" customWidth="1"/>
    <col min="15625" max="15875" width="11.42578125" style="831"/>
    <col min="15876" max="15876" width="8" style="831" customWidth="1"/>
    <col min="15877" max="15877" width="7.140625" style="831" bestFit="1" customWidth="1"/>
    <col min="15878" max="15879" width="11.42578125" style="831"/>
    <col min="15880" max="15880" width="16" style="831" customWidth="1"/>
    <col min="15881" max="16131" width="11.42578125" style="831"/>
    <col min="16132" max="16132" width="8" style="831" customWidth="1"/>
    <col min="16133" max="16133" width="7.140625" style="831" bestFit="1" customWidth="1"/>
    <col min="16134" max="16135" width="11.42578125" style="831"/>
    <col min="16136" max="16136" width="16" style="831" customWidth="1"/>
    <col min="16137" max="16384" width="11.42578125" style="831"/>
  </cols>
  <sheetData>
    <row r="1" spans="1:8" ht="13.5" thickBot="1"/>
    <row r="2" spans="1:8">
      <c r="A2" s="963" t="s">
        <v>674</v>
      </c>
      <c r="B2" s="1381" t="s">
        <v>4029</v>
      </c>
      <c r="C2" s="1382"/>
      <c r="D2" s="1382"/>
      <c r="E2" s="1382"/>
      <c r="F2" s="1382"/>
      <c r="G2" s="1382"/>
      <c r="H2" s="1383"/>
    </row>
    <row r="3" spans="1:8">
      <c r="B3" s="1384" t="s">
        <v>4030</v>
      </c>
      <c r="C3" s="829"/>
      <c r="D3" s="829"/>
      <c r="E3" s="829"/>
      <c r="F3" s="829"/>
      <c r="G3" s="829"/>
      <c r="H3" s="1385"/>
    </row>
    <row r="4" spans="1:8" ht="13.5" thickBot="1">
      <c r="B4" s="1386" t="s">
        <v>4031</v>
      </c>
      <c r="C4" s="1387"/>
      <c r="D4" s="1387"/>
      <c r="E4" s="1387"/>
      <c r="F4" s="1387"/>
      <c r="G4" s="1387"/>
      <c r="H4" s="1388"/>
    </row>
    <row r="6" spans="1:8">
      <c r="B6" s="818"/>
      <c r="C6" s="831" t="s">
        <v>3977</v>
      </c>
    </row>
    <row r="7" spans="1:8" ht="13.5" thickBot="1"/>
    <row r="8" spans="1:8">
      <c r="B8" s="1389" t="s">
        <v>3978</v>
      </c>
      <c r="C8" s="1390"/>
      <c r="D8" s="1390"/>
      <c r="E8" s="1390"/>
      <c r="F8" s="1391"/>
    </row>
    <row r="9" spans="1:8">
      <c r="B9" s="1392" t="s">
        <v>3045</v>
      </c>
      <c r="C9" s="1096"/>
      <c r="D9" s="1393">
        <v>90</v>
      </c>
      <c r="E9" s="1096" t="s">
        <v>212</v>
      </c>
      <c r="F9" s="1394"/>
    </row>
    <row r="10" spans="1:8">
      <c r="B10" s="1392" t="s">
        <v>4000</v>
      </c>
      <c r="C10" s="1096"/>
      <c r="D10" s="1393">
        <v>65</v>
      </c>
      <c r="E10" s="1096" t="s">
        <v>212</v>
      </c>
      <c r="F10" s="1394"/>
    </row>
    <row r="11" spans="1:8">
      <c r="B11" s="1392" t="s">
        <v>1959</v>
      </c>
      <c r="C11" s="1096"/>
      <c r="D11" s="1393">
        <v>300</v>
      </c>
      <c r="E11" s="1096" t="s">
        <v>212</v>
      </c>
      <c r="F11" s="1394"/>
    </row>
    <row r="12" spans="1:8" ht="13.5" thickBot="1">
      <c r="B12" s="1395" t="s">
        <v>1774</v>
      </c>
      <c r="C12" s="1396"/>
      <c r="D12" s="1397">
        <v>60</v>
      </c>
      <c r="E12" s="1396" t="s">
        <v>212</v>
      </c>
      <c r="F12" s="1398"/>
    </row>
    <row r="13" spans="1:8" ht="13.5" thickBot="1"/>
    <row r="14" spans="1:8">
      <c r="B14" s="1389" t="s">
        <v>2486</v>
      </c>
      <c r="C14" s="1390"/>
      <c r="D14" s="1399">
        <v>0.2</v>
      </c>
      <c r="E14" s="1390"/>
      <c r="F14" s="1391"/>
      <c r="G14" s="831" t="s">
        <v>4001</v>
      </c>
    </row>
    <row r="15" spans="1:8" ht="13.5" thickBot="1">
      <c r="B15" s="1395" t="s">
        <v>3980</v>
      </c>
      <c r="C15" s="1396"/>
      <c r="D15" s="1400" t="s">
        <v>3981</v>
      </c>
      <c r="E15" s="1418">
        <v>5</v>
      </c>
      <c r="F15" s="1398" t="s">
        <v>2494</v>
      </c>
      <c r="G15" s="1413" t="s">
        <v>3982</v>
      </c>
    </row>
    <row r="16" spans="1:8" ht="13.5" thickBot="1"/>
    <row r="17" spans="2:7">
      <c r="B17" s="1389" t="s">
        <v>2663</v>
      </c>
      <c r="C17" s="1390"/>
      <c r="D17" s="1403">
        <v>6</v>
      </c>
      <c r="E17" s="1390"/>
      <c r="F17" s="1391"/>
    </row>
    <row r="18" spans="2:7" ht="13.5" thickBot="1">
      <c r="B18" s="1395" t="s">
        <v>1773</v>
      </c>
      <c r="C18" s="1396"/>
      <c r="D18" s="1396">
        <v>50</v>
      </c>
      <c r="E18" s="1396" t="s">
        <v>212</v>
      </c>
      <c r="F18" s="1398"/>
      <c r="G18" s="831" t="s">
        <v>3983</v>
      </c>
    </row>
    <row r="19" spans="2:7" ht="13.5" thickBot="1"/>
    <row r="20" spans="2:7">
      <c r="B20" s="1389" t="s">
        <v>526</v>
      </c>
      <c r="C20" s="1390"/>
      <c r="D20" s="1419">
        <v>18</v>
      </c>
      <c r="E20" s="1390" t="s">
        <v>212</v>
      </c>
      <c r="F20" s="1391"/>
      <c r="G20" s="831" t="s">
        <v>4003</v>
      </c>
    </row>
    <row r="21" spans="2:7" ht="13.5" thickBot="1">
      <c r="B21" s="1395" t="s">
        <v>520</v>
      </c>
      <c r="C21" s="1396"/>
      <c r="D21" s="1420">
        <v>13</v>
      </c>
      <c r="E21" s="1396" t="s">
        <v>212</v>
      </c>
      <c r="F21" s="1398"/>
      <c r="G21" s="831" t="s">
        <v>4004</v>
      </c>
    </row>
    <row r="28" spans="2:7">
      <c r="D28" s="1421" t="s">
        <v>4032</v>
      </c>
    </row>
    <row r="30" spans="2:7">
      <c r="C30" s="1422" t="s">
        <v>4033</v>
      </c>
      <c r="D30" s="1409">
        <v>65</v>
      </c>
      <c r="E30" s="1423" t="s">
        <v>212</v>
      </c>
    </row>
    <row r="31" spans="2:7">
      <c r="C31" s="1422" t="s">
        <v>4034</v>
      </c>
      <c r="D31" s="1409">
        <v>90</v>
      </c>
      <c r="E31" s="1423" t="s">
        <v>212</v>
      </c>
    </row>
    <row r="32" spans="2:7">
      <c r="C32" s="1422" t="s">
        <v>2536</v>
      </c>
      <c r="D32" s="1409">
        <v>300</v>
      </c>
      <c r="E32" s="1423" t="s">
        <v>212</v>
      </c>
    </row>
    <row r="33" spans="3:6">
      <c r="C33" s="1422" t="s">
        <v>2537</v>
      </c>
      <c r="D33" s="1409">
        <v>60</v>
      </c>
      <c r="E33" s="1423" t="s">
        <v>212</v>
      </c>
    </row>
    <row r="34" spans="3:6">
      <c r="C34" s="830"/>
    </row>
    <row r="35" spans="3:6">
      <c r="C35" s="1422" t="s">
        <v>2595</v>
      </c>
      <c r="D35" s="831">
        <v>0.2</v>
      </c>
    </row>
    <row r="36" spans="3:6">
      <c r="C36" s="1422" t="s">
        <v>4035</v>
      </c>
      <c r="D36" s="830" t="s">
        <v>4036</v>
      </c>
    </row>
    <row r="37" spans="3:6">
      <c r="C37" s="830"/>
    </row>
    <row r="38" spans="3:6">
      <c r="C38" s="1422" t="s">
        <v>4037</v>
      </c>
      <c r="D38" s="831">
        <v>13</v>
      </c>
      <c r="E38" s="1423" t="s">
        <v>212</v>
      </c>
      <c r="F38" s="1423" t="s">
        <v>4038</v>
      </c>
    </row>
    <row r="39" spans="3:6">
      <c r="C39" s="1422" t="s">
        <v>4039</v>
      </c>
      <c r="D39" s="831">
        <v>18</v>
      </c>
      <c r="E39" s="1423" t="s">
        <v>212</v>
      </c>
      <c r="F39" s="1423" t="s">
        <v>4040</v>
      </c>
    </row>
    <row r="40" spans="3:6">
      <c r="C40" s="830"/>
    </row>
    <row r="41" spans="3:6">
      <c r="C41" s="965" t="s">
        <v>4041</v>
      </c>
    </row>
  </sheetData>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1"/>
  <sheetViews>
    <sheetView workbookViewId="0">
      <selection activeCell="J26" sqref="J26"/>
    </sheetView>
  </sheetViews>
  <sheetFormatPr baseColWidth="10" defaultRowHeight="12.75"/>
  <cols>
    <col min="1" max="2" width="11.42578125" style="831"/>
    <col min="3" max="3" width="24.85546875" style="831" customWidth="1"/>
    <col min="4" max="11" width="9.7109375" style="831" customWidth="1"/>
    <col min="12" max="258" width="11.42578125" style="831"/>
    <col min="259" max="259" width="24.85546875" style="831" customWidth="1"/>
    <col min="260" max="267" width="9.7109375" style="831" customWidth="1"/>
    <col min="268" max="514" width="11.42578125" style="831"/>
    <col min="515" max="515" width="24.85546875" style="831" customWidth="1"/>
    <col min="516" max="523" width="9.7109375" style="831" customWidth="1"/>
    <col min="524" max="770" width="11.42578125" style="831"/>
    <col min="771" max="771" width="24.85546875" style="831" customWidth="1"/>
    <col min="772" max="779" width="9.7109375" style="831" customWidth="1"/>
    <col min="780" max="1026" width="11.42578125" style="831"/>
    <col min="1027" max="1027" width="24.85546875" style="831" customWidth="1"/>
    <col min="1028" max="1035" width="9.7109375" style="831" customWidth="1"/>
    <col min="1036" max="1282" width="11.42578125" style="831"/>
    <col min="1283" max="1283" width="24.85546875" style="831" customWidth="1"/>
    <col min="1284" max="1291" width="9.7109375" style="831" customWidth="1"/>
    <col min="1292" max="1538" width="11.42578125" style="831"/>
    <col min="1539" max="1539" width="24.85546875" style="831" customWidth="1"/>
    <col min="1540" max="1547" width="9.7109375" style="831" customWidth="1"/>
    <col min="1548" max="1794" width="11.42578125" style="831"/>
    <col min="1795" max="1795" width="24.85546875" style="831" customWidth="1"/>
    <col min="1796" max="1803" width="9.7109375" style="831" customWidth="1"/>
    <col min="1804" max="2050" width="11.42578125" style="831"/>
    <col min="2051" max="2051" width="24.85546875" style="831" customWidth="1"/>
    <col min="2052" max="2059" width="9.7109375" style="831" customWidth="1"/>
    <col min="2060" max="2306" width="11.42578125" style="831"/>
    <col min="2307" max="2307" width="24.85546875" style="831" customWidth="1"/>
    <col min="2308" max="2315" width="9.7109375" style="831" customWidth="1"/>
    <col min="2316" max="2562" width="11.42578125" style="831"/>
    <col min="2563" max="2563" width="24.85546875" style="831" customWidth="1"/>
    <col min="2564" max="2571" width="9.7109375" style="831" customWidth="1"/>
    <col min="2572" max="2818" width="11.42578125" style="831"/>
    <col min="2819" max="2819" width="24.85546875" style="831" customWidth="1"/>
    <col min="2820" max="2827" width="9.7109375" style="831" customWidth="1"/>
    <col min="2828" max="3074" width="11.42578125" style="831"/>
    <col min="3075" max="3075" width="24.85546875" style="831" customWidth="1"/>
    <col min="3076" max="3083" width="9.7109375" style="831" customWidth="1"/>
    <col min="3084" max="3330" width="11.42578125" style="831"/>
    <col min="3331" max="3331" width="24.85546875" style="831" customWidth="1"/>
    <col min="3332" max="3339" width="9.7109375" style="831" customWidth="1"/>
    <col min="3340" max="3586" width="11.42578125" style="831"/>
    <col min="3587" max="3587" width="24.85546875" style="831" customWidth="1"/>
    <col min="3588" max="3595" width="9.7109375" style="831" customWidth="1"/>
    <col min="3596" max="3842" width="11.42578125" style="831"/>
    <col min="3843" max="3843" width="24.85546875" style="831" customWidth="1"/>
    <col min="3844" max="3851" width="9.7109375" style="831" customWidth="1"/>
    <col min="3852" max="4098" width="11.42578125" style="831"/>
    <col min="4099" max="4099" width="24.85546875" style="831" customWidth="1"/>
    <col min="4100" max="4107" width="9.7109375" style="831" customWidth="1"/>
    <col min="4108" max="4354" width="11.42578125" style="831"/>
    <col min="4355" max="4355" width="24.85546875" style="831" customWidth="1"/>
    <col min="4356" max="4363" width="9.7109375" style="831" customWidth="1"/>
    <col min="4364" max="4610" width="11.42578125" style="831"/>
    <col min="4611" max="4611" width="24.85546875" style="831" customWidth="1"/>
    <col min="4612" max="4619" width="9.7109375" style="831" customWidth="1"/>
    <col min="4620" max="4866" width="11.42578125" style="831"/>
    <col min="4867" max="4867" width="24.85546875" style="831" customWidth="1"/>
    <col min="4868" max="4875" width="9.7109375" style="831" customWidth="1"/>
    <col min="4876" max="5122" width="11.42578125" style="831"/>
    <col min="5123" max="5123" width="24.85546875" style="831" customWidth="1"/>
    <col min="5124" max="5131" width="9.7109375" style="831" customWidth="1"/>
    <col min="5132" max="5378" width="11.42578125" style="831"/>
    <col min="5379" max="5379" width="24.85546875" style="831" customWidth="1"/>
    <col min="5380" max="5387" width="9.7109375" style="831" customWidth="1"/>
    <col min="5388" max="5634" width="11.42578125" style="831"/>
    <col min="5635" max="5635" width="24.85546875" style="831" customWidth="1"/>
    <col min="5636" max="5643" width="9.7109375" style="831" customWidth="1"/>
    <col min="5644" max="5890" width="11.42578125" style="831"/>
    <col min="5891" max="5891" width="24.85546875" style="831" customWidth="1"/>
    <col min="5892" max="5899" width="9.7109375" style="831" customWidth="1"/>
    <col min="5900" max="6146" width="11.42578125" style="831"/>
    <col min="6147" max="6147" width="24.85546875" style="831" customWidth="1"/>
    <col min="6148" max="6155" width="9.7109375" style="831" customWidth="1"/>
    <col min="6156" max="6402" width="11.42578125" style="831"/>
    <col min="6403" max="6403" width="24.85546875" style="831" customWidth="1"/>
    <col min="6404" max="6411" width="9.7109375" style="831" customWidth="1"/>
    <col min="6412" max="6658" width="11.42578125" style="831"/>
    <col min="6659" max="6659" width="24.85546875" style="831" customWidth="1"/>
    <col min="6660" max="6667" width="9.7109375" style="831" customWidth="1"/>
    <col min="6668" max="6914" width="11.42578125" style="831"/>
    <col min="6915" max="6915" width="24.85546875" style="831" customWidth="1"/>
    <col min="6916" max="6923" width="9.7109375" style="831" customWidth="1"/>
    <col min="6924" max="7170" width="11.42578125" style="831"/>
    <col min="7171" max="7171" width="24.85546875" style="831" customWidth="1"/>
    <col min="7172" max="7179" width="9.7109375" style="831" customWidth="1"/>
    <col min="7180" max="7426" width="11.42578125" style="831"/>
    <col min="7427" max="7427" width="24.85546875" style="831" customWidth="1"/>
    <col min="7428" max="7435" width="9.7109375" style="831" customWidth="1"/>
    <col min="7436" max="7682" width="11.42578125" style="831"/>
    <col min="7683" max="7683" width="24.85546875" style="831" customWidth="1"/>
    <col min="7684" max="7691" width="9.7109375" style="831" customWidth="1"/>
    <col min="7692" max="7938" width="11.42578125" style="831"/>
    <col min="7939" max="7939" width="24.85546875" style="831" customWidth="1"/>
    <col min="7940" max="7947" width="9.7109375" style="831" customWidth="1"/>
    <col min="7948" max="8194" width="11.42578125" style="831"/>
    <col min="8195" max="8195" width="24.85546875" style="831" customWidth="1"/>
    <col min="8196" max="8203" width="9.7109375" style="831" customWidth="1"/>
    <col min="8204" max="8450" width="11.42578125" style="831"/>
    <col min="8451" max="8451" width="24.85546875" style="831" customWidth="1"/>
    <col min="8452" max="8459" width="9.7109375" style="831" customWidth="1"/>
    <col min="8460" max="8706" width="11.42578125" style="831"/>
    <col min="8707" max="8707" width="24.85546875" style="831" customWidth="1"/>
    <col min="8708" max="8715" width="9.7109375" style="831" customWidth="1"/>
    <col min="8716" max="8962" width="11.42578125" style="831"/>
    <col min="8963" max="8963" width="24.85546875" style="831" customWidth="1"/>
    <col min="8964" max="8971" width="9.7109375" style="831" customWidth="1"/>
    <col min="8972" max="9218" width="11.42578125" style="831"/>
    <col min="9219" max="9219" width="24.85546875" style="831" customWidth="1"/>
    <col min="9220" max="9227" width="9.7109375" style="831" customWidth="1"/>
    <col min="9228" max="9474" width="11.42578125" style="831"/>
    <col min="9475" max="9475" width="24.85546875" style="831" customWidth="1"/>
    <col min="9476" max="9483" width="9.7109375" style="831" customWidth="1"/>
    <col min="9484" max="9730" width="11.42578125" style="831"/>
    <col min="9731" max="9731" width="24.85546875" style="831" customWidth="1"/>
    <col min="9732" max="9739" width="9.7109375" style="831" customWidth="1"/>
    <col min="9740" max="9986" width="11.42578125" style="831"/>
    <col min="9987" max="9987" width="24.85546875" style="831" customWidth="1"/>
    <col min="9988" max="9995" width="9.7109375" style="831" customWidth="1"/>
    <col min="9996" max="10242" width="11.42578125" style="831"/>
    <col min="10243" max="10243" width="24.85546875" style="831" customWidth="1"/>
    <col min="10244" max="10251" width="9.7109375" style="831" customWidth="1"/>
    <col min="10252" max="10498" width="11.42578125" style="831"/>
    <col min="10499" max="10499" width="24.85546875" style="831" customWidth="1"/>
    <col min="10500" max="10507" width="9.7109375" style="831" customWidth="1"/>
    <col min="10508" max="10754" width="11.42578125" style="831"/>
    <col min="10755" max="10755" width="24.85546875" style="831" customWidth="1"/>
    <col min="10756" max="10763" width="9.7109375" style="831" customWidth="1"/>
    <col min="10764" max="11010" width="11.42578125" style="831"/>
    <col min="11011" max="11011" width="24.85546875" style="831" customWidth="1"/>
    <col min="11012" max="11019" width="9.7109375" style="831" customWidth="1"/>
    <col min="11020" max="11266" width="11.42578125" style="831"/>
    <col min="11267" max="11267" width="24.85546875" style="831" customWidth="1"/>
    <col min="11268" max="11275" width="9.7109375" style="831" customWidth="1"/>
    <col min="11276" max="11522" width="11.42578125" style="831"/>
    <col min="11523" max="11523" width="24.85546875" style="831" customWidth="1"/>
    <col min="11524" max="11531" width="9.7109375" style="831" customWidth="1"/>
    <col min="11532" max="11778" width="11.42578125" style="831"/>
    <col min="11779" max="11779" width="24.85546875" style="831" customWidth="1"/>
    <col min="11780" max="11787" width="9.7109375" style="831" customWidth="1"/>
    <col min="11788" max="12034" width="11.42578125" style="831"/>
    <col min="12035" max="12035" width="24.85546875" style="831" customWidth="1"/>
    <col min="12036" max="12043" width="9.7109375" style="831" customWidth="1"/>
    <col min="12044" max="12290" width="11.42578125" style="831"/>
    <col min="12291" max="12291" width="24.85546875" style="831" customWidth="1"/>
    <col min="12292" max="12299" width="9.7109375" style="831" customWidth="1"/>
    <col min="12300" max="12546" width="11.42578125" style="831"/>
    <col min="12547" max="12547" width="24.85546875" style="831" customWidth="1"/>
    <col min="12548" max="12555" width="9.7109375" style="831" customWidth="1"/>
    <col min="12556" max="12802" width="11.42578125" style="831"/>
    <col min="12803" max="12803" width="24.85546875" style="831" customWidth="1"/>
    <col min="12804" max="12811" width="9.7109375" style="831" customWidth="1"/>
    <col min="12812" max="13058" width="11.42578125" style="831"/>
    <col min="13059" max="13059" width="24.85546875" style="831" customWidth="1"/>
    <col min="13060" max="13067" width="9.7109375" style="831" customWidth="1"/>
    <col min="13068" max="13314" width="11.42578125" style="831"/>
    <col min="13315" max="13315" width="24.85546875" style="831" customWidth="1"/>
    <col min="13316" max="13323" width="9.7109375" style="831" customWidth="1"/>
    <col min="13324" max="13570" width="11.42578125" style="831"/>
    <col min="13571" max="13571" width="24.85546875" style="831" customWidth="1"/>
    <col min="13572" max="13579" width="9.7109375" style="831" customWidth="1"/>
    <col min="13580" max="13826" width="11.42578125" style="831"/>
    <col min="13827" max="13827" width="24.85546875" style="831" customWidth="1"/>
    <col min="13828" max="13835" width="9.7109375" style="831" customWidth="1"/>
    <col min="13836" max="14082" width="11.42578125" style="831"/>
    <col min="14083" max="14083" width="24.85546875" style="831" customWidth="1"/>
    <col min="14084" max="14091" width="9.7109375" style="831" customWidth="1"/>
    <col min="14092" max="14338" width="11.42578125" style="831"/>
    <col min="14339" max="14339" width="24.85546875" style="831" customWidth="1"/>
    <col min="14340" max="14347" width="9.7109375" style="831" customWidth="1"/>
    <col min="14348" max="14594" width="11.42578125" style="831"/>
    <col min="14595" max="14595" width="24.85546875" style="831" customWidth="1"/>
    <col min="14596" max="14603" width="9.7109375" style="831" customWidth="1"/>
    <col min="14604" max="14850" width="11.42578125" style="831"/>
    <col min="14851" max="14851" width="24.85546875" style="831" customWidth="1"/>
    <col min="14852" max="14859" width="9.7109375" style="831" customWidth="1"/>
    <col min="14860" max="15106" width="11.42578125" style="831"/>
    <col min="15107" max="15107" width="24.85546875" style="831" customWidth="1"/>
    <col min="15108" max="15115" width="9.7109375" style="831" customWidth="1"/>
    <col min="15116" max="15362" width="11.42578125" style="831"/>
    <col min="15363" max="15363" width="24.85546875" style="831" customWidth="1"/>
    <col min="15364" max="15371" width="9.7109375" style="831" customWidth="1"/>
    <col min="15372" max="15618" width="11.42578125" style="831"/>
    <col min="15619" max="15619" width="24.85546875" style="831" customWidth="1"/>
    <col min="15620" max="15627" width="9.7109375" style="831" customWidth="1"/>
    <col min="15628" max="15874" width="11.42578125" style="831"/>
    <col min="15875" max="15875" width="24.85546875" style="831" customWidth="1"/>
    <col min="15876" max="15883" width="9.7109375" style="831" customWidth="1"/>
    <col min="15884" max="16130" width="11.42578125" style="831"/>
    <col min="16131" max="16131" width="24.85546875" style="831" customWidth="1"/>
    <col min="16132" max="16139" width="9.7109375" style="831" customWidth="1"/>
    <col min="16140" max="16384" width="11.42578125" style="831"/>
  </cols>
  <sheetData>
    <row r="1" spans="1:11" ht="13.5" thickBot="1"/>
    <row r="2" spans="1:11" ht="13.5" thickBot="1">
      <c r="A2" s="963" t="s">
        <v>675</v>
      </c>
      <c r="B2" s="1424" t="s">
        <v>4042</v>
      </c>
      <c r="C2" s="1425"/>
      <c r="D2" s="827"/>
      <c r="E2" s="827"/>
    </row>
    <row r="4" spans="1:11" ht="13.5" thickBot="1"/>
    <row r="5" spans="1:11">
      <c r="B5" s="1389" t="s">
        <v>2593</v>
      </c>
      <c r="C5" s="1391"/>
      <c r="D5" s="1390">
        <v>5</v>
      </c>
      <c r="E5" s="1426">
        <v>40</v>
      </c>
      <c r="F5" s="1426">
        <v>20</v>
      </c>
      <c r="G5" s="1426">
        <v>36</v>
      </c>
      <c r="H5" s="1419">
        <v>15</v>
      </c>
      <c r="I5" s="1427">
        <v>32.5</v>
      </c>
      <c r="J5" s="1390">
        <v>9</v>
      </c>
      <c r="K5" s="1426">
        <v>28</v>
      </c>
    </row>
    <row r="6" spans="1:11">
      <c r="B6" s="1392"/>
      <c r="C6" s="1394"/>
      <c r="D6" s="1096"/>
      <c r="E6" s="1428"/>
      <c r="F6" s="1428"/>
      <c r="G6" s="1428"/>
      <c r="H6" s="1096"/>
      <c r="I6" s="1428"/>
      <c r="J6" s="1096"/>
      <c r="K6" s="1428"/>
    </row>
    <row r="7" spans="1:11">
      <c r="B7" s="1392" t="s">
        <v>2594</v>
      </c>
      <c r="C7" s="1394"/>
      <c r="D7" s="1096">
        <v>120</v>
      </c>
      <c r="E7" s="1428">
        <v>15</v>
      </c>
      <c r="F7" s="1428">
        <v>70</v>
      </c>
      <c r="G7" s="1428">
        <v>24</v>
      </c>
      <c r="H7" s="1096">
        <v>60</v>
      </c>
      <c r="I7" s="1428">
        <v>13</v>
      </c>
      <c r="J7" s="1429">
        <v>180</v>
      </c>
      <c r="K7" s="1430">
        <v>7</v>
      </c>
    </row>
    <row r="8" spans="1:11">
      <c r="B8" s="1392"/>
      <c r="C8" s="1394"/>
      <c r="D8" s="1096"/>
      <c r="E8" s="1428"/>
      <c r="F8" s="1428"/>
      <c r="G8" s="1428"/>
      <c r="H8" s="1096"/>
      <c r="I8" s="1428"/>
      <c r="J8" s="1096"/>
      <c r="K8" s="1428"/>
    </row>
    <row r="9" spans="1:11">
      <c r="B9" s="1392" t="s">
        <v>2537</v>
      </c>
      <c r="C9" s="1394"/>
      <c r="D9" s="1431">
        <v>11</v>
      </c>
      <c r="E9" s="1432">
        <v>96</v>
      </c>
      <c r="F9" s="1428">
        <v>21</v>
      </c>
      <c r="G9" s="1428">
        <v>37.5</v>
      </c>
      <c r="H9" s="1096">
        <v>30</v>
      </c>
      <c r="I9" s="1428">
        <v>22.5</v>
      </c>
      <c r="J9" s="1096">
        <v>13.5</v>
      </c>
      <c r="K9" s="1428">
        <v>36</v>
      </c>
    </row>
    <row r="10" spans="1:11">
      <c r="B10" s="1392"/>
      <c r="C10" s="1394"/>
      <c r="D10" s="1096"/>
      <c r="E10" s="1428"/>
      <c r="F10" s="1428"/>
      <c r="G10" s="1428"/>
      <c r="H10" s="1096"/>
      <c r="I10" s="1428"/>
      <c r="J10" s="1096"/>
      <c r="K10" s="1428"/>
    </row>
    <row r="11" spans="1:11" ht="13.5" thickBot="1">
      <c r="B11" s="1395" t="s">
        <v>2983</v>
      </c>
      <c r="C11" s="1398"/>
      <c r="D11" s="1396">
        <v>264</v>
      </c>
      <c r="E11" s="1433">
        <v>36</v>
      </c>
      <c r="F11" s="1434">
        <v>73.5</v>
      </c>
      <c r="G11" s="1434">
        <v>25</v>
      </c>
      <c r="H11" s="1396">
        <v>120</v>
      </c>
      <c r="I11" s="1433">
        <v>9</v>
      </c>
      <c r="J11" s="1396">
        <v>270</v>
      </c>
      <c r="K11" s="1433">
        <v>9</v>
      </c>
    </row>
    <row r="13" spans="1:11" ht="13.5" thickBot="1"/>
    <row r="14" spans="1:11">
      <c r="B14" s="831" t="s">
        <v>4043</v>
      </c>
      <c r="D14" s="1435">
        <v>4.1666666666666664E-2</v>
      </c>
      <c r="E14" s="1399">
        <v>2.6666666666666665</v>
      </c>
      <c r="F14" s="1435">
        <v>0.2857142857142857</v>
      </c>
      <c r="G14" s="1399">
        <v>1.5</v>
      </c>
      <c r="H14" s="1389"/>
      <c r="I14" s="1390"/>
      <c r="J14" s="1389"/>
      <c r="K14" s="1391"/>
    </row>
    <row r="15" spans="1:11">
      <c r="D15" s="1392"/>
      <c r="E15" s="1096"/>
      <c r="F15" s="1392"/>
      <c r="G15" s="1096"/>
      <c r="H15" s="1392"/>
      <c r="I15" s="1096"/>
      <c r="J15" s="1392"/>
      <c r="K15" s="1394"/>
    </row>
    <row r="16" spans="1:11">
      <c r="B16" s="831" t="s">
        <v>4044</v>
      </c>
      <c r="D16" s="1436">
        <v>25</v>
      </c>
      <c r="E16" s="1437">
        <v>1.375</v>
      </c>
      <c r="F16" s="1436">
        <v>4.5</v>
      </c>
      <c r="G16" s="1437">
        <v>1.6666666666666665</v>
      </c>
      <c r="H16" s="1392"/>
      <c r="I16" s="1096"/>
      <c r="J16" s="1392"/>
      <c r="K16" s="1394"/>
    </row>
    <row r="17" spans="2:11">
      <c r="D17" s="1392"/>
      <c r="E17" s="1096"/>
      <c r="F17" s="1392"/>
      <c r="G17" s="1096"/>
      <c r="H17" s="1392"/>
      <c r="I17" s="1096"/>
      <c r="J17" s="1392"/>
      <c r="K17" s="1394"/>
    </row>
    <row r="18" spans="2:11">
      <c r="B18" s="831" t="s">
        <v>4045</v>
      </c>
      <c r="D18" s="1392">
        <v>10.56</v>
      </c>
      <c r="E18" s="1437">
        <v>26.181818181818183</v>
      </c>
      <c r="F18" s="1392"/>
      <c r="G18" s="1096"/>
      <c r="H18" s="1392"/>
      <c r="I18" s="1096"/>
      <c r="J18" s="1392"/>
      <c r="K18" s="1394"/>
    </row>
    <row r="19" spans="2:11">
      <c r="D19" s="1392"/>
      <c r="E19" s="1096"/>
      <c r="F19" s="1392"/>
      <c r="G19" s="1096"/>
      <c r="H19" s="1392"/>
      <c r="I19" s="1096"/>
      <c r="J19" s="1392"/>
      <c r="K19" s="1394"/>
    </row>
    <row r="20" spans="2:11" ht="13.5" thickBot="1">
      <c r="B20" s="831" t="s">
        <v>4046</v>
      </c>
      <c r="D20" s="1395">
        <v>11</v>
      </c>
      <c r="E20" s="1396">
        <v>96</v>
      </c>
      <c r="F20" s="1392"/>
      <c r="G20" s="1096"/>
      <c r="H20" s="1392"/>
      <c r="I20" s="1096"/>
      <c r="J20" s="1392"/>
      <c r="K20" s="1394"/>
    </row>
    <row r="21" spans="2:11">
      <c r="F21" s="1392"/>
      <c r="G21" s="1096"/>
      <c r="H21" s="1392"/>
      <c r="I21" s="1096"/>
      <c r="J21" s="1392"/>
      <c r="K21" s="1394"/>
    </row>
    <row r="22" spans="2:11">
      <c r="F22" s="1392"/>
      <c r="G22" s="1096"/>
      <c r="H22" s="1392"/>
      <c r="I22" s="1096"/>
      <c r="J22" s="1392"/>
      <c r="K22" s="1394"/>
    </row>
    <row r="23" spans="2:11" ht="13.5" thickBot="1">
      <c r="B23" s="831" t="s">
        <v>4047</v>
      </c>
      <c r="F23" s="1438">
        <v>73.5</v>
      </c>
      <c r="G23" s="1404">
        <v>25</v>
      </c>
      <c r="H23" s="1392"/>
      <c r="I23" s="1096"/>
      <c r="J23" s="1392"/>
      <c r="K23" s="1394"/>
    </row>
    <row r="24" spans="2:11">
      <c r="H24" s="1392"/>
      <c r="I24" s="1096"/>
      <c r="J24" s="1392"/>
      <c r="K24" s="1394"/>
    </row>
    <row r="25" spans="2:11">
      <c r="H25" s="1392"/>
      <c r="I25" s="1096"/>
      <c r="J25" s="1392"/>
      <c r="K25" s="1394"/>
    </row>
    <row r="26" spans="2:11">
      <c r="B26" s="831" t="s">
        <v>4048</v>
      </c>
      <c r="H26" s="1439">
        <v>0.25</v>
      </c>
      <c r="I26" s="1440">
        <v>2.5</v>
      </c>
      <c r="J26" s="1441">
        <v>0.05</v>
      </c>
      <c r="K26" s="1442">
        <v>4</v>
      </c>
    </row>
    <row r="27" spans="2:11">
      <c r="H27" s="1392"/>
      <c r="I27" s="1096"/>
      <c r="J27" s="1392"/>
      <c r="K27" s="1394"/>
    </row>
    <row r="28" spans="2:11" ht="13.5" thickBot="1">
      <c r="B28" s="831" t="s">
        <v>4049</v>
      </c>
      <c r="H28" s="1438">
        <v>15</v>
      </c>
      <c r="I28" s="1404">
        <v>32.5</v>
      </c>
      <c r="J28" s="1392"/>
      <c r="K28" s="1394"/>
    </row>
    <row r="29" spans="2:11">
      <c r="J29" s="1392"/>
      <c r="K29" s="1394"/>
    </row>
    <row r="30" spans="2:11">
      <c r="J30" s="1392"/>
      <c r="K30" s="1394"/>
    </row>
    <row r="31" spans="2:11" ht="13.5" thickBot="1">
      <c r="B31" s="831" t="s">
        <v>4050</v>
      </c>
      <c r="J31" s="1438">
        <v>180</v>
      </c>
      <c r="K31" s="1443">
        <v>7</v>
      </c>
    </row>
  </sheetData>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0"/>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676</v>
      </c>
      <c r="B2" s="1381" t="s">
        <v>4051</v>
      </c>
      <c r="C2" s="1382"/>
      <c r="D2" s="1382"/>
      <c r="E2" s="1382"/>
      <c r="F2" s="1382"/>
      <c r="G2" s="1382"/>
      <c r="H2" s="1383"/>
    </row>
    <row r="3" spans="1:8">
      <c r="B3" s="1384" t="s">
        <v>4052</v>
      </c>
      <c r="C3" s="829"/>
      <c r="D3" s="829"/>
      <c r="E3" s="829"/>
      <c r="F3" s="829"/>
      <c r="G3" s="829"/>
      <c r="H3" s="1385"/>
    </row>
    <row r="4" spans="1:8" ht="13.5" thickBot="1">
      <c r="B4" s="1386" t="s">
        <v>4053</v>
      </c>
      <c r="C4" s="1387"/>
      <c r="D4" s="1387"/>
      <c r="E4" s="1387"/>
      <c r="F4" s="1387"/>
      <c r="G4" s="1387"/>
      <c r="H4" s="1388"/>
    </row>
    <row r="6" spans="1:8">
      <c r="B6" s="818"/>
      <c r="C6" s="831" t="s">
        <v>3977</v>
      </c>
    </row>
    <row r="7" spans="1:8" ht="13.5" thickBot="1">
      <c r="F7" s="1096"/>
    </row>
    <row r="8" spans="1:8">
      <c r="B8" s="1389" t="s">
        <v>3978</v>
      </c>
      <c r="C8" s="1390"/>
      <c r="D8" s="1390"/>
      <c r="E8" s="1391"/>
      <c r="F8" s="1096"/>
    </row>
    <row r="9" spans="1:8">
      <c r="B9" s="1392" t="s">
        <v>4000</v>
      </c>
      <c r="C9" s="1096"/>
      <c r="D9" s="1393">
        <v>144</v>
      </c>
      <c r="E9" s="1394" t="s">
        <v>212</v>
      </c>
      <c r="F9" s="1096"/>
    </row>
    <row r="10" spans="1:8">
      <c r="B10" s="1392" t="s">
        <v>520</v>
      </c>
      <c r="C10" s="1096"/>
      <c r="D10" s="1393">
        <v>16</v>
      </c>
      <c r="E10" s="1394" t="s">
        <v>212</v>
      </c>
      <c r="F10" s="1096"/>
    </row>
    <row r="11" spans="1:8" ht="13.5" thickBot="1">
      <c r="B11" s="1395" t="s">
        <v>1959</v>
      </c>
      <c r="C11" s="1396"/>
      <c r="D11" s="1397">
        <v>300</v>
      </c>
      <c r="E11" s="1398" t="s">
        <v>212</v>
      </c>
      <c r="F11" s="1096"/>
    </row>
    <row r="12" spans="1:8" ht="13.5" thickBot="1">
      <c r="F12" s="1096"/>
    </row>
    <row r="13" spans="1:8">
      <c r="B13" s="1389" t="s">
        <v>2486</v>
      </c>
      <c r="C13" s="1390"/>
      <c r="D13" s="1444">
        <v>0.1111111111111111</v>
      </c>
      <c r="E13" s="1391"/>
      <c r="F13" s="1096" t="s">
        <v>4054</v>
      </c>
    </row>
    <row r="14" spans="1:8" ht="13.5" thickBot="1">
      <c r="B14" s="1395" t="s">
        <v>2663</v>
      </c>
      <c r="C14" s="1396"/>
      <c r="D14" s="1404">
        <v>10</v>
      </c>
      <c r="E14" s="1398"/>
    </row>
    <row r="15" spans="1:8" ht="13.5" thickBot="1"/>
    <row r="16" spans="1:8" ht="13.5" thickBot="1">
      <c r="B16" s="1405" t="s">
        <v>1773</v>
      </c>
      <c r="C16" s="1406"/>
      <c r="D16" s="1406">
        <v>30</v>
      </c>
      <c r="E16" s="1408" t="s">
        <v>212</v>
      </c>
      <c r="F16" s="831" t="s">
        <v>3983</v>
      </c>
    </row>
    <row r="17" spans="2:6" ht="13.5" thickBot="1"/>
    <row r="18" spans="2:6" ht="13.5" thickBot="1">
      <c r="B18" s="1405" t="s">
        <v>1774</v>
      </c>
      <c r="C18" s="1406"/>
      <c r="D18" s="1445">
        <v>33.333333333333336</v>
      </c>
      <c r="E18" s="1408" t="s">
        <v>212</v>
      </c>
      <c r="F18" s="831" t="s">
        <v>4055</v>
      </c>
    </row>
    <row r="25" spans="2:6">
      <c r="C25" s="1409" t="s">
        <v>4056</v>
      </c>
    </row>
    <row r="27" spans="2:6">
      <c r="C27" s="831" t="s">
        <v>4057</v>
      </c>
      <c r="D27" s="1409">
        <v>144</v>
      </c>
      <c r="E27" s="831" t="s">
        <v>212</v>
      </c>
    </row>
    <row r="28" spans="2:6">
      <c r="C28" s="831" t="s">
        <v>2604</v>
      </c>
      <c r="D28" s="1409">
        <v>16</v>
      </c>
      <c r="E28" s="831" t="s">
        <v>212</v>
      </c>
    </row>
    <row r="29" spans="2:6">
      <c r="C29" s="831" t="s">
        <v>4058</v>
      </c>
      <c r="D29" s="1409">
        <v>300</v>
      </c>
      <c r="E29" s="831" t="s">
        <v>212</v>
      </c>
    </row>
    <row r="31" spans="2:6">
      <c r="C31" s="831" t="s">
        <v>2595</v>
      </c>
      <c r="D31" s="831">
        <v>0.1111111111111111</v>
      </c>
      <c r="F31" s="831" t="s">
        <v>4059</v>
      </c>
    </row>
    <row r="32" spans="2:6">
      <c r="C32" s="831" t="s">
        <v>4060</v>
      </c>
      <c r="D32" s="830" t="s">
        <v>4061</v>
      </c>
      <c r="F32" s="831" t="s">
        <v>4062</v>
      </c>
    </row>
    <row r="33" spans="3:6">
      <c r="F33" s="831" t="s">
        <v>4063</v>
      </c>
    </row>
    <row r="34" spans="3:6">
      <c r="C34" s="831" t="s">
        <v>2601</v>
      </c>
      <c r="D34" s="831">
        <v>10</v>
      </c>
      <c r="F34" s="831" t="s">
        <v>4064</v>
      </c>
    </row>
    <row r="35" spans="3:6">
      <c r="C35" s="831" t="s">
        <v>1588</v>
      </c>
      <c r="D35" s="831">
        <v>30</v>
      </c>
      <c r="E35" s="831" t="s">
        <v>212</v>
      </c>
      <c r="F35" s="831" t="s">
        <v>4065</v>
      </c>
    </row>
    <row r="37" spans="3:6">
      <c r="C37" s="831" t="s">
        <v>2537</v>
      </c>
      <c r="D37" s="968">
        <v>33.333333333333336</v>
      </c>
      <c r="E37" s="831" t="s">
        <v>212</v>
      </c>
      <c r="F37" s="831" t="s">
        <v>4066</v>
      </c>
    </row>
    <row r="38" spans="3:6">
      <c r="F38" s="831" t="s">
        <v>4067</v>
      </c>
    </row>
    <row r="40" spans="3:6">
      <c r="C40" s="831" t="s">
        <v>4068</v>
      </c>
    </row>
  </sheetData>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3"/>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677</v>
      </c>
      <c r="B2" s="1381" t="s">
        <v>4069</v>
      </c>
      <c r="C2" s="1382"/>
      <c r="D2" s="1382"/>
      <c r="E2" s="1382"/>
      <c r="F2" s="1382"/>
      <c r="G2" s="1382"/>
      <c r="H2" s="1382"/>
      <c r="I2" s="1383"/>
    </row>
    <row r="3" spans="1:9" ht="13.5" thickBot="1">
      <c r="B3" s="1386" t="s">
        <v>4070</v>
      </c>
      <c r="C3" s="1387"/>
      <c r="D3" s="1387"/>
      <c r="E3" s="1387"/>
      <c r="F3" s="1387"/>
      <c r="G3" s="1387"/>
      <c r="H3" s="1387"/>
      <c r="I3" s="1388"/>
    </row>
    <row r="5" spans="1:9">
      <c r="B5" s="818"/>
      <c r="C5" s="831" t="s">
        <v>3977</v>
      </c>
    </row>
    <row r="6" spans="1:9" ht="13.5" thickBot="1"/>
    <row r="7" spans="1:9">
      <c r="B7" s="1389" t="s">
        <v>3978</v>
      </c>
      <c r="C7" s="1390"/>
      <c r="D7" s="1390"/>
      <c r="E7" s="1391"/>
    </row>
    <row r="8" spans="1:9">
      <c r="B8" s="1392" t="s">
        <v>3045</v>
      </c>
      <c r="C8" s="1096"/>
      <c r="D8" s="1393">
        <v>90</v>
      </c>
      <c r="E8" s="1394" t="s">
        <v>212</v>
      </c>
    </row>
    <row r="9" spans="1:9">
      <c r="B9" s="1392" t="s">
        <v>4000</v>
      </c>
      <c r="C9" s="1096"/>
      <c r="D9" s="1393">
        <v>65</v>
      </c>
      <c r="E9" s="1394" t="s">
        <v>212</v>
      </c>
    </row>
    <row r="10" spans="1:9">
      <c r="B10" s="1392" t="s">
        <v>1774</v>
      </c>
      <c r="C10" s="1096"/>
      <c r="D10" s="1393">
        <v>36</v>
      </c>
      <c r="E10" s="1394" t="s">
        <v>212</v>
      </c>
    </row>
    <row r="11" spans="1:9">
      <c r="B11" s="1392" t="s">
        <v>526</v>
      </c>
      <c r="C11" s="1096"/>
      <c r="D11" s="1393">
        <v>18</v>
      </c>
      <c r="E11" s="1394" t="s">
        <v>212</v>
      </c>
    </row>
    <row r="12" spans="1:9" ht="13.5" thickBot="1">
      <c r="B12" s="1395" t="s">
        <v>520</v>
      </c>
      <c r="C12" s="1396"/>
      <c r="D12" s="1397">
        <v>13</v>
      </c>
      <c r="E12" s="1398" t="s">
        <v>212</v>
      </c>
    </row>
    <row r="13" spans="1:9" ht="13.5" thickBot="1"/>
    <row r="14" spans="1:9">
      <c r="B14" s="1389" t="s">
        <v>2486</v>
      </c>
      <c r="C14" s="1390"/>
      <c r="D14" s="1444">
        <v>0.2</v>
      </c>
      <c r="E14" s="1391"/>
      <c r="F14" s="831" t="s">
        <v>3979</v>
      </c>
    </row>
    <row r="15" spans="1:9" ht="13.5" thickBot="1">
      <c r="B15" s="1395" t="s">
        <v>2663</v>
      </c>
      <c r="C15" s="1396"/>
      <c r="D15" s="1404">
        <v>6</v>
      </c>
      <c r="E15" s="1398"/>
      <c r="F15" s="831" t="s">
        <v>4071</v>
      </c>
    </row>
    <row r="16" spans="1:9" ht="13.5" thickBot="1">
      <c r="B16" s="1096"/>
      <c r="C16" s="1096"/>
      <c r="D16" s="1096"/>
      <c r="E16" s="1096"/>
    </row>
    <row r="17" spans="2:6" ht="13.5" thickBot="1">
      <c r="B17" s="1405" t="s">
        <v>1959</v>
      </c>
      <c r="C17" s="1406"/>
      <c r="D17" s="1446">
        <v>180</v>
      </c>
      <c r="E17" s="1408" t="s">
        <v>212</v>
      </c>
      <c r="F17" s="831" t="s">
        <v>4072</v>
      </c>
    </row>
    <row r="25" spans="2:6">
      <c r="C25" s="1409" t="s">
        <v>4032</v>
      </c>
    </row>
    <row r="26" spans="2:6">
      <c r="C26" s="1447"/>
    </row>
    <row r="27" spans="2:6">
      <c r="C27" s="828" t="s">
        <v>2537</v>
      </c>
      <c r="D27" s="1409">
        <v>36</v>
      </c>
      <c r="E27" s="831" t="s">
        <v>212</v>
      </c>
    </row>
    <row r="28" spans="2:6">
      <c r="C28" s="1448" t="s">
        <v>4037</v>
      </c>
      <c r="D28" s="1409">
        <v>13</v>
      </c>
      <c r="E28" s="831" t="s">
        <v>212</v>
      </c>
    </row>
    <row r="29" spans="2:6">
      <c r="C29" s="1448" t="s">
        <v>4039</v>
      </c>
      <c r="D29" s="1409">
        <v>18</v>
      </c>
      <c r="E29" s="831" t="s">
        <v>212</v>
      </c>
    </row>
    <row r="30" spans="2:6">
      <c r="C30" s="1448" t="s">
        <v>4033</v>
      </c>
      <c r="D30" s="1409">
        <v>65</v>
      </c>
      <c r="E30" s="831" t="s">
        <v>212</v>
      </c>
    </row>
    <row r="31" spans="2:6">
      <c r="C31" s="1448" t="s">
        <v>4034</v>
      </c>
      <c r="D31" s="1409">
        <v>90</v>
      </c>
      <c r="E31" s="831" t="s">
        <v>212</v>
      </c>
    </row>
    <row r="32" spans="2:6">
      <c r="C32" s="830"/>
      <c r="F32" s="831" t="s">
        <v>4073</v>
      </c>
    </row>
    <row r="33" spans="3:6">
      <c r="C33" s="830" t="s">
        <v>4074</v>
      </c>
      <c r="D33" s="831">
        <v>0.2</v>
      </c>
      <c r="F33" s="831" t="s">
        <v>4075</v>
      </c>
    </row>
    <row r="34" spans="3:6">
      <c r="C34" s="830" t="s">
        <v>4076</v>
      </c>
      <c r="D34" s="831">
        <v>0.2</v>
      </c>
    </row>
    <row r="35" spans="3:6">
      <c r="C35" s="830" t="s">
        <v>4077</v>
      </c>
      <c r="D35" s="830" t="s">
        <v>4036</v>
      </c>
    </row>
    <row r="36" spans="3:6">
      <c r="C36" s="830" t="s">
        <v>2680</v>
      </c>
      <c r="D36" s="831">
        <v>6</v>
      </c>
      <c r="F36" s="831" t="s">
        <v>4078</v>
      </c>
    </row>
    <row r="37" spans="3:6">
      <c r="C37" s="830" t="s">
        <v>4023</v>
      </c>
      <c r="D37" s="831">
        <v>1.2</v>
      </c>
      <c r="F37" s="831" t="s">
        <v>4079</v>
      </c>
    </row>
    <row r="38" spans="3:6">
      <c r="C38" s="830"/>
    </row>
    <row r="39" spans="3:6">
      <c r="C39" s="830" t="s">
        <v>1588</v>
      </c>
      <c r="D39" s="831">
        <v>30</v>
      </c>
      <c r="E39" s="831" t="s">
        <v>212</v>
      </c>
      <c r="F39" s="831" t="s">
        <v>4080</v>
      </c>
    </row>
    <row r="40" spans="3:6">
      <c r="C40" s="830"/>
    </row>
    <row r="41" spans="3:6">
      <c r="C41" s="830" t="s">
        <v>2536</v>
      </c>
      <c r="D41" s="831">
        <v>180</v>
      </c>
      <c r="E41" s="831" t="s">
        <v>212</v>
      </c>
    </row>
    <row r="42" spans="3:6">
      <c r="C42" s="830"/>
    </row>
    <row r="43" spans="3:6">
      <c r="C43" s="965" t="s">
        <v>4081</v>
      </c>
    </row>
  </sheetData>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3"/>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678</v>
      </c>
      <c r="B2" s="1381" t="s">
        <v>4082</v>
      </c>
      <c r="C2" s="1382"/>
      <c r="D2" s="1382"/>
      <c r="E2" s="1382"/>
      <c r="F2" s="1382"/>
      <c r="G2" s="1383"/>
    </row>
    <row r="3" spans="1:7">
      <c r="B3" s="1384" t="s">
        <v>4083</v>
      </c>
      <c r="C3" s="829"/>
      <c r="D3" s="829"/>
      <c r="E3" s="829"/>
      <c r="F3" s="829"/>
      <c r="G3" s="1385"/>
    </row>
    <row r="4" spans="1:7" ht="13.5" thickBot="1">
      <c r="B4" s="1386" t="s">
        <v>4084</v>
      </c>
      <c r="C4" s="1387"/>
      <c r="D4" s="1387"/>
      <c r="E4" s="1387"/>
      <c r="F4" s="1387"/>
      <c r="G4" s="1388"/>
    </row>
    <row r="6" spans="1:7">
      <c r="B6" s="818"/>
      <c r="C6" s="831" t="s">
        <v>3977</v>
      </c>
    </row>
    <row r="7" spans="1:7" ht="13.5" thickBot="1"/>
    <row r="8" spans="1:7">
      <c r="B8" s="1389" t="s">
        <v>3978</v>
      </c>
      <c r="C8" s="1390"/>
      <c r="D8" s="1390"/>
      <c r="E8" s="1391"/>
    </row>
    <row r="9" spans="1:7">
      <c r="B9" s="1392" t="s">
        <v>526</v>
      </c>
      <c r="C9" s="1096"/>
      <c r="D9" s="1393">
        <v>18</v>
      </c>
      <c r="E9" s="1394" t="s">
        <v>212</v>
      </c>
    </row>
    <row r="10" spans="1:7">
      <c r="B10" s="1392" t="s">
        <v>520</v>
      </c>
      <c r="C10" s="1096"/>
      <c r="D10" s="1393">
        <v>13</v>
      </c>
      <c r="E10" s="1394" t="s">
        <v>212</v>
      </c>
    </row>
    <row r="11" spans="1:7">
      <c r="B11" s="1392" t="s">
        <v>1959</v>
      </c>
      <c r="C11" s="1096"/>
      <c r="D11" s="1393">
        <v>651</v>
      </c>
      <c r="E11" s="1394" t="s">
        <v>212</v>
      </c>
    </row>
    <row r="12" spans="1:7" ht="13.5" thickBot="1">
      <c r="B12" s="1395" t="s">
        <v>1774</v>
      </c>
      <c r="C12" s="1396"/>
      <c r="D12" s="1397">
        <v>21.7</v>
      </c>
      <c r="E12" s="1398" t="s">
        <v>212</v>
      </c>
    </row>
    <row r="13" spans="1:7" ht="13.5" thickBot="1"/>
    <row r="14" spans="1:7">
      <c r="B14" s="1389" t="s">
        <v>2486</v>
      </c>
      <c r="C14" s="1390"/>
      <c r="D14" s="1399">
        <v>3.3333333333333333E-2</v>
      </c>
      <c r="E14" s="1391"/>
      <c r="F14" s="831" t="s">
        <v>4085</v>
      </c>
    </row>
    <row r="15" spans="1:7" ht="13.5" thickBot="1">
      <c r="B15" s="1395" t="s">
        <v>2663</v>
      </c>
      <c r="C15" s="1396"/>
      <c r="D15" s="1449">
        <v>31</v>
      </c>
      <c r="E15" s="1398"/>
      <c r="F15" s="831" t="s">
        <v>4071</v>
      </c>
    </row>
    <row r="16" spans="1:7" ht="13.5" thickBot="1"/>
    <row r="17" spans="2:6">
      <c r="B17" s="1389" t="s">
        <v>3045</v>
      </c>
      <c r="C17" s="1390"/>
      <c r="D17" s="1450">
        <v>540</v>
      </c>
      <c r="E17" s="1391" t="s">
        <v>212</v>
      </c>
      <c r="F17" s="831" t="s">
        <v>4086</v>
      </c>
    </row>
    <row r="18" spans="2:6" ht="13.5" thickBot="1">
      <c r="B18" s="1395" t="s">
        <v>4000</v>
      </c>
      <c r="C18" s="1396"/>
      <c r="D18" s="1451">
        <v>390</v>
      </c>
      <c r="E18" s="1398" t="s">
        <v>212</v>
      </c>
      <c r="F18" s="831" t="s">
        <v>4087</v>
      </c>
    </row>
    <row r="24" spans="2:6">
      <c r="E24" s="1409" t="s">
        <v>4032</v>
      </c>
    </row>
    <row r="26" spans="2:6">
      <c r="D26" s="830" t="s">
        <v>4037</v>
      </c>
      <c r="E26" s="1409">
        <v>13</v>
      </c>
      <c r="F26" s="831" t="s">
        <v>212</v>
      </c>
    </row>
    <row r="27" spans="2:6">
      <c r="D27" s="830" t="s">
        <v>4039</v>
      </c>
      <c r="E27" s="1409">
        <v>18</v>
      </c>
      <c r="F27" s="831" t="s">
        <v>212</v>
      </c>
    </row>
    <row r="28" spans="2:6">
      <c r="D28" s="830" t="s">
        <v>2983</v>
      </c>
      <c r="E28" s="1409">
        <v>651</v>
      </c>
      <c r="F28" s="831" t="s">
        <v>212</v>
      </c>
    </row>
    <row r="29" spans="2:6">
      <c r="D29" s="830" t="s">
        <v>2537</v>
      </c>
      <c r="E29" s="1409">
        <v>21.7</v>
      </c>
      <c r="F29" s="831" t="s">
        <v>212</v>
      </c>
    </row>
    <row r="30" spans="2:6">
      <c r="D30" s="830"/>
    </row>
    <row r="31" spans="2:6">
      <c r="D31" s="830" t="s">
        <v>2595</v>
      </c>
      <c r="E31" s="831">
        <v>3.3333333333333333E-2</v>
      </c>
    </row>
    <row r="32" spans="2:6">
      <c r="D32" s="830" t="s">
        <v>4088</v>
      </c>
      <c r="E32" s="831">
        <v>31</v>
      </c>
    </row>
    <row r="33" spans="4:8">
      <c r="D33" s="830" t="s">
        <v>4089</v>
      </c>
      <c r="E33" s="830" t="s">
        <v>4090</v>
      </c>
    </row>
    <row r="34" spans="4:8">
      <c r="D34" s="830"/>
    </row>
    <row r="35" spans="4:8">
      <c r="D35" s="830" t="s">
        <v>4033</v>
      </c>
      <c r="E35" s="831">
        <v>390</v>
      </c>
      <c r="F35" s="831" t="s">
        <v>212</v>
      </c>
      <c r="G35" s="831" t="s">
        <v>4019</v>
      </c>
      <c r="H35" s="831" t="s">
        <v>4091</v>
      </c>
    </row>
    <row r="36" spans="4:8">
      <c r="D36" s="830" t="s">
        <v>4034</v>
      </c>
      <c r="E36" s="831">
        <v>540</v>
      </c>
      <c r="F36" s="831" t="s">
        <v>212</v>
      </c>
    </row>
    <row r="37" spans="4:8">
      <c r="D37" s="830"/>
    </row>
    <row r="38" spans="4:8">
      <c r="D38" s="1452" t="s">
        <v>4092</v>
      </c>
      <c r="E38" s="831">
        <v>540</v>
      </c>
      <c r="F38" s="1423" t="s">
        <v>212</v>
      </c>
    </row>
    <row r="39" spans="4:8">
      <c r="D39" s="830"/>
    </row>
    <row r="40" spans="4:8">
      <c r="D40" s="830" t="s">
        <v>4093</v>
      </c>
    </row>
    <row r="41" spans="4:8">
      <c r="D41" s="830"/>
    </row>
    <row r="42" spans="4:8">
      <c r="D42" s="830"/>
    </row>
    <row r="43" spans="4:8">
      <c r="D43" s="830"/>
    </row>
  </sheetData>
  <pageMargins left="0.78740157499999996" right="0.78740157499999996" top="0.984251969" bottom="0.984251969" header="0.4921259845" footer="0.4921259845"/>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679</v>
      </c>
      <c r="B2" s="1381" t="s">
        <v>4094</v>
      </c>
      <c r="C2" s="1382"/>
      <c r="D2" s="1382"/>
      <c r="E2" s="1382"/>
      <c r="F2" s="1382"/>
      <c r="G2" s="1382"/>
      <c r="H2" s="1383"/>
    </row>
    <row r="3" spans="1:8">
      <c r="B3" s="1384" t="s">
        <v>4095</v>
      </c>
      <c r="C3" s="829"/>
      <c r="D3" s="829"/>
      <c r="E3" s="829"/>
      <c r="F3" s="829"/>
      <c r="G3" s="829"/>
      <c r="H3" s="1385"/>
    </row>
    <row r="4" spans="1:8" ht="13.5" thickBot="1">
      <c r="B4" s="1386" t="s">
        <v>4096</v>
      </c>
      <c r="C4" s="1387"/>
      <c r="D4" s="1387"/>
      <c r="E4" s="1387"/>
      <c r="F4" s="1387"/>
      <c r="G4" s="1387"/>
      <c r="H4" s="1388"/>
    </row>
    <row r="6" spans="1:8">
      <c r="B6" s="818"/>
      <c r="C6" s="831" t="s">
        <v>3977</v>
      </c>
    </row>
    <row r="7" spans="1:8" ht="13.5" thickBot="1"/>
    <row r="8" spans="1:8">
      <c r="B8" s="1389" t="s">
        <v>3978</v>
      </c>
      <c r="C8" s="1390"/>
      <c r="D8" s="1390"/>
      <c r="E8" s="1391"/>
    </row>
    <row r="9" spans="1:8">
      <c r="B9" s="1392" t="s">
        <v>3045</v>
      </c>
      <c r="C9" s="1096"/>
      <c r="D9" s="1393">
        <v>45</v>
      </c>
      <c r="E9" s="1394" t="s">
        <v>212</v>
      </c>
    </row>
    <row r="10" spans="1:8">
      <c r="B10" s="1392" t="s">
        <v>1959</v>
      </c>
      <c r="C10" s="1096"/>
      <c r="D10" s="1393">
        <v>300</v>
      </c>
      <c r="E10" s="1394" t="s">
        <v>212</v>
      </c>
    </row>
    <row r="11" spans="1:8" ht="13.5" thickBot="1">
      <c r="B11" s="1395" t="s">
        <v>1774</v>
      </c>
      <c r="C11" s="1396"/>
      <c r="D11" s="1397">
        <v>60</v>
      </c>
      <c r="E11" s="1398" t="s">
        <v>212</v>
      </c>
    </row>
    <row r="12" spans="1:8" ht="13.5" thickBot="1"/>
    <row r="13" spans="1:8">
      <c r="B13" s="1389" t="s">
        <v>2486</v>
      </c>
      <c r="C13" s="1390"/>
      <c r="D13" s="1444">
        <v>0.2</v>
      </c>
      <c r="E13" s="1391"/>
      <c r="F13" s="831" t="s">
        <v>4085</v>
      </c>
    </row>
    <row r="14" spans="1:8" ht="13.5" thickBot="1">
      <c r="B14" s="1395" t="s">
        <v>2663</v>
      </c>
      <c r="C14" s="1396"/>
      <c r="D14" s="1449">
        <v>6</v>
      </c>
      <c r="E14" s="1398"/>
      <c r="F14" s="831" t="s">
        <v>4071</v>
      </c>
    </row>
    <row r="15" spans="1:8" ht="13.5" thickBot="1"/>
    <row r="16" spans="1:8" ht="13.5" thickBot="1">
      <c r="B16" s="1405" t="s">
        <v>526</v>
      </c>
      <c r="C16" s="1406"/>
      <c r="D16" s="1446">
        <v>9</v>
      </c>
      <c r="E16" s="1408" t="s">
        <v>212</v>
      </c>
      <c r="F16" s="831" t="s">
        <v>4003</v>
      </c>
    </row>
  </sheetData>
  <pageMargins left="0.78740157499999996" right="0.78740157499999996" top="0.984251969" bottom="0.984251969" header="0.4921259845" footer="0.492125984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5"/>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4097</v>
      </c>
      <c r="B2" s="1381" t="s">
        <v>4098</v>
      </c>
      <c r="C2" s="1382"/>
      <c r="D2" s="1382"/>
      <c r="E2" s="1382"/>
      <c r="F2" s="1382"/>
      <c r="G2" s="1382"/>
      <c r="H2" s="1383"/>
    </row>
    <row r="3" spans="1:8">
      <c r="B3" s="1384" t="s">
        <v>4099</v>
      </c>
      <c r="C3" s="829"/>
      <c r="D3" s="829"/>
      <c r="E3" s="829"/>
      <c r="F3" s="829"/>
      <c r="G3" s="829"/>
      <c r="H3" s="1385"/>
    </row>
    <row r="4" spans="1:8" ht="13.5" thickBot="1">
      <c r="B4" s="1386" t="s">
        <v>4100</v>
      </c>
      <c r="C4" s="1387"/>
      <c r="D4" s="1387"/>
      <c r="E4" s="1387"/>
      <c r="F4" s="1387"/>
      <c r="G4" s="1387"/>
      <c r="H4" s="1388"/>
    </row>
    <row r="6" spans="1:8">
      <c r="B6" s="818"/>
      <c r="C6" s="831" t="s">
        <v>3977</v>
      </c>
    </row>
    <row r="7" spans="1:8" ht="13.5" thickBot="1"/>
    <row r="8" spans="1:8">
      <c r="B8" s="1389" t="s">
        <v>3978</v>
      </c>
      <c r="C8" s="1390"/>
      <c r="D8" s="1390"/>
      <c r="E8" s="1391"/>
    </row>
    <row r="9" spans="1:8">
      <c r="B9" s="1392" t="s">
        <v>3045</v>
      </c>
      <c r="C9" s="1096"/>
      <c r="D9" s="1393">
        <v>168</v>
      </c>
      <c r="E9" s="1394" t="s">
        <v>212</v>
      </c>
    </row>
    <row r="10" spans="1:8">
      <c r="B10" s="1392" t="s">
        <v>1774</v>
      </c>
      <c r="C10" s="1096"/>
      <c r="D10" s="1393">
        <v>3.6</v>
      </c>
      <c r="E10" s="1394" t="s">
        <v>212</v>
      </c>
    </row>
    <row r="11" spans="1:8" ht="13.5" thickBot="1">
      <c r="B11" s="1395" t="s">
        <v>526</v>
      </c>
      <c r="C11" s="1396"/>
      <c r="D11" s="1397">
        <v>2.7</v>
      </c>
      <c r="E11" s="1398" t="s">
        <v>212</v>
      </c>
    </row>
    <row r="12" spans="1:8" ht="13.5" thickBot="1"/>
    <row r="13" spans="1:8">
      <c r="B13" s="1389" t="s">
        <v>2486</v>
      </c>
      <c r="C13" s="1390"/>
      <c r="D13" s="1399">
        <v>1.6071428571428573E-2</v>
      </c>
      <c r="E13" s="1391"/>
      <c r="F13" s="831" t="s">
        <v>4101</v>
      </c>
    </row>
    <row r="14" spans="1:8" ht="13.5" thickBot="1">
      <c r="B14" s="1395" t="s">
        <v>2663</v>
      </c>
      <c r="C14" s="1396"/>
      <c r="D14" s="1453">
        <v>63.222222222222214</v>
      </c>
      <c r="E14" s="1398"/>
      <c r="F14" s="831" t="s">
        <v>4071</v>
      </c>
    </row>
    <row r="15" spans="1:8" ht="13.5" thickBot="1"/>
    <row r="16" spans="1:8" ht="13.5" thickBot="1">
      <c r="B16" s="1405" t="s">
        <v>1959</v>
      </c>
      <c r="C16" s="1406"/>
      <c r="D16" s="1445">
        <v>224</v>
      </c>
      <c r="E16" s="1408" t="s">
        <v>212</v>
      </c>
      <c r="F16" s="831" t="s">
        <v>4072</v>
      </c>
    </row>
    <row r="21" spans="3:5">
      <c r="C21" s="1409" t="s">
        <v>4032</v>
      </c>
    </row>
    <row r="22" spans="3:5">
      <c r="C22" s="1447"/>
    </row>
    <row r="23" spans="3:5">
      <c r="C23" s="1448" t="s">
        <v>2594</v>
      </c>
      <c r="D23" s="1409">
        <v>168</v>
      </c>
      <c r="E23" s="831" t="s">
        <v>212</v>
      </c>
    </row>
    <row r="24" spans="3:5">
      <c r="C24" s="830" t="s">
        <v>2537</v>
      </c>
      <c r="D24" s="1409">
        <v>3.6</v>
      </c>
      <c r="E24" s="831" t="s">
        <v>212</v>
      </c>
    </row>
    <row r="25" spans="3:5">
      <c r="C25" s="830" t="s">
        <v>2593</v>
      </c>
      <c r="D25" s="1409">
        <v>2.7</v>
      </c>
      <c r="E25" s="831" t="s">
        <v>212</v>
      </c>
    </row>
    <row r="26" spans="3:5">
      <c r="C26" s="830"/>
    </row>
    <row r="27" spans="3:5">
      <c r="C27" s="830" t="s">
        <v>2486</v>
      </c>
      <c r="D27" s="831">
        <v>1.6071428571428573E-2</v>
      </c>
    </row>
    <row r="28" spans="3:5">
      <c r="C28" s="830" t="s">
        <v>4102</v>
      </c>
      <c r="D28" s="831">
        <v>62.222222222222214</v>
      </c>
    </row>
    <row r="29" spans="3:5">
      <c r="C29" s="830" t="s">
        <v>4103</v>
      </c>
      <c r="D29" s="830" t="s">
        <v>4104</v>
      </c>
    </row>
    <row r="30" spans="3:5">
      <c r="C30" s="830"/>
    </row>
    <row r="31" spans="3:5">
      <c r="C31" s="830" t="s">
        <v>2663</v>
      </c>
      <c r="D31" s="831">
        <v>63.222222222222214</v>
      </c>
    </row>
    <row r="32" spans="3:5">
      <c r="C32" s="830" t="s">
        <v>2981</v>
      </c>
      <c r="D32" s="831">
        <v>1.0160714285714285</v>
      </c>
    </row>
    <row r="33" spans="3:5">
      <c r="C33" s="830"/>
    </row>
    <row r="34" spans="3:5">
      <c r="C34" s="830" t="s">
        <v>1773</v>
      </c>
      <c r="D34" s="831">
        <v>3.5430579964850617</v>
      </c>
      <c r="E34" s="831" t="s">
        <v>212</v>
      </c>
    </row>
    <row r="35" spans="3:5">
      <c r="C35" s="830" t="s">
        <v>1959</v>
      </c>
      <c r="D35" s="831">
        <v>224</v>
      </c>
      <c r="E35" s="831" t="s">
        <v>212</v>
      </c>
    </row>
  </sheetData>
  <pageMargins left="0.78740157499999996" right="0.78740157499999996" top="0.984251969" bottom="0.984251969" header="0.4921259845" footer="0.492125984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0"/>
  <sheetViews>
    <sheetView workbookViewId="0">
      <selection activeCell="M42" sqref="M42"/>
    </sheetView>
  </sheetViews>
  <sheetFormatPr baseColWidth="10" defaultRowHeight="12.75"/>
  <cols>
    <col min="1" max="8" width="11.42578125" style="831"/>
    <col min="9" max="9" width="14.5703125" style="831" customWidth="1"/>
    <col min="10" max="264" width="11.42578125" style="831"/>
    <col min="265" max="265" width="14.5703125" style="831" customWidth="1"/>
    <col min="266" max="520" width="11.42578125" style="831"/>
    <col min="521" max="521" width="14.5703125" style="831" customWidth="1"/>
    <col min="522" max="776" width="11.42578125" style="831"/>
    <col min="777" max="777" width="14.5703125" style="831" customWidth="1"/>
    <col min="778" max="1032" width="11.42578125" style="831"/>
    <col min="1033" max="1033" width="14.5703125" style="831" customWidth="1"/>
    <col min="1034" max="1288" width="11.42578125" style="831"/>
    <col min="1289" max="1289" width="14.5703125" style="831" customWidth="1"/>
    <col min="1290" max="1544" width="11.42578125" style="831"/>
    <col min="1545" max="1545" width="14.5703125" style="831" customWidth="1"/>
    <col min="1546" max="1800" width="11.42578125" style="831"/>
    <col min="1801" max="1801" width="14.5703125" style="831" customWidth="1"/>
    <col min="1802" max="2056" width="11.42578125" style="831"/>
    <col min="2057" max="2057" width="14.5703125" style="831" customWidth="1"/>
    <col min="2058" max="2312" width="11.42578125" style="831"/>
    <col min="2313" max="2313" width="14.5703125" style="831" customWidth="1"/>
    <col min="2314" max="2568" width="11.42578125" style="831"/>
    <col min="2569" max="2569" width="14.5703125" style="831" customWidth="1"/>
    <col min="2570" max="2824" width="11.42578125" style="831"/>
    <col min="2825" max="2825" width="14.5703125" style="831" customWidth="1"/>
    <col min="2826" max="3080" width="11.42578125" style="831"/>
    <col min="3081" max="3081" width="14.5703125" style="831" customWidth="1"/>
    <col min="3082" max="3336" width="11.42578125" style="831"/>
    <col min="3337" max="3337" width="14.5703125" style="831" customWidth="1"/>
    <col min="3338" max="3592" width="11.42578125" style="831"/>
    <col min="3593" max="3593" width="14.5703125" style="831" customWidth="1"/>
    <col min="3594" max="3848" width="11.42578125" style="831"/>
    <col min="3849" max="3849" width="14.5703125" style="831" customWidth="1"/>
    <col min="3850" max="4104" width="11.42578125" style="831"/>
    <col min="4105" max="4105" width="14.5703125" style="831" customWidth="1"/>
    <col min="4106" max="4360" width="11.42578125" style="831"/>
    <col min="4361" max="4361" width="14.5703125" style="831" customWidth="1"/>
    <col min="4362" max="4616" width="11.42578125" style="831"/>
    <col min="4617" max="4617" width="14.5703125" style="831" customWidth="1"/>
    <col min="4618" max="4872" width="11.42578125" style="831"/>
    <col min="4873" max="4873" width="14.5703125" style="831" customWidth="1"/>
    <col min="4874" max="5128" width="11.42578125" style="831"/>
    <col min="5129" max="5129" width="14.5703125" style="831" customWidth="1"/>
    <col min="5130" max="5384" width="11.42578125" style="831"/>
    <col min="5385" max="5385" width="14.5703125" style="831" customWidth="1"/>
    <col min="5386" max="5640" width="11.42578125" style="831"/>
    <col min="5641" max="5641" width="14.5703125" style="831" customWidth="1"/>
    <col min="5642" max="5896" width="11.42578125" style="831"/>
    <col min="5897" max="5897" width="14.5703125" style="831" customWidth="1"/>
    <col min="5898" max="6152" width="11.42578125" style="831"/>
    <col min="6153" max="6153" width="14.5703125" style="831" customWidth="1"/>
    <col min="6154" max="6408" width="11.42578125" style="831"/>
    <col min="6409" max="6409" width="14.5703125" style="831" customWidth="1"/>
    <col min="6410" max="6664" width="11.42578125" style="831"/>
    <col min="6665" max="6665" width="14.5703125" style="831" customWidth="1"/>
    <col min="6666" max="6920" width="11.42578125" style="831"/>
    <col min="6921" max="6921" width="14.5703125" style="831" customWidth="1"/>
    <col min="6922" max="7176" width="11.42578125" style="831"/>
    <col min="7177" max="7177" width="14.5703125" style="831" customWidth="1"/>
    <col min="7178" max="7432" width="11.42578125" style="831"/>
    <col min="7433" max="7433" width="14.5703125" style="831" customWidth="1"/>
    <col min="7434" max="7688" width="11.42578125" style="831"/>
    <col min="7689" max="7689" width="14.5703125" style="831" customWidth="1"/>
    <col min="7690" max="7944" width="11.42578125" style="831"/>
    <col min="7945" max="7945" width="14.5703125" style="831" customWidth="1"/>
    <col min="7946" max="8200" width="11.42578125" style="831"/>
    <col min="8201" max="8201" width="14.5703125" style="831" customWidth="1"/>
    <col min="8202" max="8456" width="11.42578125" style="831"/>
    <col min="8457" max="8457" width="14.5703125" style="831" customWidth="1"/>
    <col min="8458" max="8712" width="11.42578125" style="831"/>
    <col min="8713" max="8713" width="14.5703125" style="831" customWidth="1"/>
    <col min="8714" max="8968" width="11.42578125" style="831"/>
    <col min="8969" max="8969" width="14.5703125" style="831" customWidth="1"/>
    <col min="8970" max="9224" width="11.42578125" style="831"/>
    <col min="9225" max="9225" width="14.5703125" style="831" customWidth="1"/>
    <col min="9226" max="9480" width="11.42578125" style="831"/>
    <col min="9481" max="9481" width="14.5703125" style="831" customWidth="1"/>
    <col min="9482" max="9736" width="11.42578125" style="831"/>
    <col min="9737" max="9737" width="14.5703125" style="831" customWidth="1"/>
    <col min="9738" max="9992" width="11.42578125" style="831"/>
    <col min="9993" max="9993" width="14.5703125" style="831" customWidth="1"/>
    <col min="9994" max="10248" width="11.42578125" style="831"/>
    <col min="10249" max="10249" width="14.5703125" style="831" customWidth="1"/>
    <col min="10250" max="10504" width="11.42578125" style="831"/>
    <col min="10505" max="10505" width="14.5703125" style="831" customWidth="1"/>
    <col min="10506" max="10760" width="11.42578125" style="831"/>
    <col min="10761" max="10761" width="14.5703125" style="831" customWidth="1"/>
    <col min="10762" max="11016" width="11.42578125" style="831"/>
    <col min="11017" max="11017" width="14.5703125" style="831" customWidth="1"/>
    <col min="11018" max="11272" width="11.42578125" style="831"/>
    <col min="11273" max="11273" width="14.5703125" style="831" customWidth="1"/>
    <col min="11274" max="11528" width="11.42578125" style="831"/>
    <col min="11529" max="11529" width="14.5703125" style="831" customWidth="1"/>
    <col min="11530" max="11784" width="11.42578125" style="831"/>
    <col min="11785" max="11785" width="14.5703125" style="831" customWidth="1"/>
    <col min="11786" max="12040" width="11.42578125" style="831"/>
    <col min="12041" max="12041" width="14.5703125" style="831" customWidth="1"/>
    <col min="12042" max="12296" width="11.42578125" style="831"/>
    <col min="12297" max="12297" width="14.5703125" style="831" customWidth="1"/>
    <col min="12298" max="12552" width="11.42578125" style="831"/>
    <col min="12553" max="12553" width="14.5703125" style="831" customWidth="1"/>
    <col min="12554" max="12808" width="11.42578125" style="831"/>
    <col min="12809" max="12809" width="14.5703125" style="831" customWidth="1"/>
    <col min="12810" max="13064" width="11.42578125" style="831"/>
    <col min="13065" max="13065" width="14.5703125" style="831" customWidth="1"/>
    <col min="13066" max="13320" width="11.42578125" style="831"/>
    <col min="13321" max="13321" width="14.5703125" style="831" customWidth="1"/>
    <col min="13322" max="13576" width="11.42578125" style="831"/>
    <col min="13577" max="13577" width="14.5703125" style="831" customWidth="1"/>
    <col min="13578" max="13832" width="11.42578125" style="831"/>
    <col min="13833" max="13833" width="14.5703125" style="831" customWidth="1"/>
    <col min="13834" max="14088" width="11.42578125" style="831"/>
    <col min="14089" max="14089" width="14.5703125" style="831" customWidth="1"/>
    <col min="14090" max="14344" width="11.42578125" style="831"/>
    <col min="14345" max="14345" width="14.5703125" style="831" customWidth="1"/>
    <col min="14346" max="14600" width="11.42578125" style="831"/>
    <col min="14601" max="14601" width="14.5703125" style="831" customWidth="1"/>
    <col min="14602" max="14856" width="11.42578125" style="831"/>
    <col min="14857" max="14857" width="14.5703125" style="831" customWidth="1"/>
    <col min="14858" max="15112" width="11.42578125" style="831"/>
    <col min="15113" max="15113" width="14.5703125" style="831" customWidth="1"/>
    <col min="15114" max="15368" width="11.42578125" style="831"/>
    <col min="15369" max="15369" width="14.5703125" style="831" customWidth="1"/>
    <col min="15370" max="15624" width="11.42578125" style="831"/>
    <col min="15625" max="15625" width="14.5703125" style="831" customWidth="1"/>
    <col min="15626" max="15880" width="11.42578125" style="831"/>
    <col min="15881" max="15881" width="14.5703125" style="831" customWidth="1"/>
    <col min="15882" max="16136" width="11.42578125" style="831"/>
    <col min="16137" max="16137" width="14.5703125" style="831" customWidth="1"/>
    <col min="16138" max="16384" width="11.42578125" style="831"/>
  </cols>
  <sheetData>
    <row r="1" spans="1:9" ht="13.5" thickBot="1"/>
    <row r="2" spans="1:9">
      <c r="A2" s="963" t="s">
        <v>4105</v>
      </c>
      <c r="B2" s="1381" t="s">
        <v>4106</v>
      </c>
      <c r="C2" s="1382"/>
      <c r="D2" s="1382"/>
      <c r="E2" s="1382"/>
      <c r="F2" s="1382"/>
      <c r="G2" s="1382"/>
      <c r="H2" s="1382"/>
      <c r="I2" s="1383"/>
    </row>
    <row r="3" spans="1:9">
      <c r="B3" s="1384" t="s">
        <v>4107</v>
      </c>
      <c r="C3" s="829"/>
      <c r="D3" s="829"/>
      <c r="E3" s="829"/>
      <c r="F3" s="829"/>
      <c r="G3" s="829"/>
      <c r="H3" s="829"/>
      <c r="I3" s="1385"/>
    </row>
    <row r="4" spans="1:9" ht="13.5" thickBot="1">
      <c r="B4" s="1386" t="s">
        <v>4108</v>
      </c>
      <c r="C4" s="1387"/>
      <c r="D4" s="1387"/>
      <c r="E4" s="1387"/>
      <c r="F4" s="1387"/>
      <c r="G4" s="1387"/>
      <c r="H4" s="1387"/>
      <c r="I4" s="1388"/>
    </row>
    <row r="6" spans="1:9">
      <c r="B6" s="818"/>
      <c r="C6" s="831" t="s">
        <v>3977</v>
      </c>
    </row>
    <row r="7" spans="1:9" ht="13.5" thickBot="1"/>
    <row r="8" spans="1:9">
      <c r="B8" s="1389" t="s">
        <v>3978</v>
      </c>
      <c r="C8" s="1390"/>
      <c r="D8" s="1390"/>
      <c r="E8" s="1391"/>
    </row>
    <row r="9" spans="1:9">
      <c r="B9" s="1392" t="s">
        <v>3045</v>
      </c>
      <c r="C9" s="1096"/>
      <c r="D9" s="1393">
        <v>270</v>
      </c>
      <c r="E9" s="1394" t="s">
        <v>212</v>
      </c>
    </row>
    <row r="10" spans="1:9">
      <c r="B10" s="1392" t="s">
        <v>4000</v>
      </c>
      <c r="C10" s="1096"/>
      <c r="D10" s="1393">
        <v>360</v>
      </c>
      <c r="E10" s="1394" t="s">
        <v>212</v>
      </c>
    </row>
    <row r="11" spans="1:9">
      <c r="B11" s="1392" t="s">
        <v>526</v>
      </c>
      <c r="C11" s="1096"/>
      <c r="D11" s="1393">
        <v>9</v>
      </c>
      <c r="E11" s="1394" t="s">
        <v>212</v>
      </c>
    </row>
    <row r="12" spans="1:9">
      <c r="B12" s="1392" t="s">
        <v>520</v>
      </c>
      <c r="C12" s="1096"/>
      <c r="D12" s="1393">
        <v>12</v>
      </c>
      <c r="E12" s="1394" t="s">
        <v>212</v>
      </c>
    </row>
    <row r="13" spans="1:9" ht="13.5" thickBot="1">
      <c r="B13" s="1395" t="s">
        <v>1959</v>
      </c>
      <c r="C13" s="1396"/>
      <c r="D13" s="1397">
        <v>1080</v>
      </c>
      <c r="E13" s="1398" t="s">
        <v>212</v>
      </c>
    </row>
    <row r="14" spans="1:9" ht="13.5" thickBot="1"/>
    <row r="15" spans="1:9">
      <c r="B15" s="1389" t="s">
        <v>2486</v>
      </c>
      <c r="C15" s="1390"/>
      <c r="D15" s="1399">
        <v>3.3333333333333333E-2</v>
      </c>
      <c r="E15" s="1391"/>
      <c r="F15" s="831" t="s">
        <v>4101</v>
      </c>
    </row>
    <row r="16" spans="1:9" ht="13.5" thickBot="1">
      <c r="B16" s="1395" t="s">
        <v>2663</v>
      </c>
      <c r="C16" s="1396"/>
      <c r="D16" s="1449">
        <v>31</v>
      </c>
      <c r="E16" s="1398"/>
      <c r="F16" s="831" t="s">
        <v>4071</v>
      </c>
    </row>
    <row r="17" spans="2:6" ht="13.5" thickBot="1"/>
    <row r="18" spans="2:6" ht="13.5" thickBot="1">
      <c r="B18" s="1405" t="s">
        <v>1773</v>
      </c>
      <c r="C18" s="1406"/>
      <c r="D18" s="1454">
        <v>34.838709677419352</v>
      </c>
      <c r="E18" s="1408" t="s">
        <v>212</v>
      </c>
      <c r="F18" s="831" t="s">
        <v>4109</v>
      </c>
    </row>
    <row r="19" spans="2:6" ht="13.5" thickBot="1"/>
    <row r="20" spans="2:6" ht="13.5" thickBot="1">
      <c r="B20" s="1405" t="s">
        <v>1774</v>
      </c>
      <c r="C20" s="1406"/>
      <c r="D20" s="1455">
        <v>36</v>
      </c>
      <c r="E20" s="1408" t="s">
        <v>212</v>
      </c>
      <c r="F20" s="831" t="s">
        <v>4055</v>
      </c>
    </row>
    <row r="26" spans="2:6">
      <c r="D26" s="1421" t="s">
        <v>4032</v>
      </c>
    </row>
    <row r="28" spans="2:6">
      <c r="C28" s="1422" t="s">
        <v>4033</v>
      </c>
      <c r="D28" s="1409">
        <v>360</v>
      </c>
      <c r="E28" s="1423" t="s">
        <v>212</v>
      </c>
    </row>
    <row r="29" spans="2:6">
      <c r="C29" s="1422" t="s">
        <v>4034</v>
      </c>
      <c r="D29" s="1409">
        <v>270</v>
      </c>
      <c r="E29" s="1423" t="s">
        <v>212</v>
      </c>
    </row>
    <row r="30" spans="2:6">
      <c r="C30" s="1422" t="s">
        <v>4037</v>
      </c>
      <c r="D30" s="1409">
        <v>12</v>
      </c>
      <c r="E30" s="1423" t="s">
        <v>212</v>
      </c>
    </row>
    <row r="31" spans="2:6">
      <c r="C31" s="1422" t="s">
        <v>4039</v>
      </c>
      <c r="D31" s="1409">
        <v>9</v>
      </c>
      <c r="E31" s="1423" t="s">
        <v>212</v>
      </c>
    </row>
    <row r="32" spans="2:6">
      <c r="C32" s="1422" t="s">
        <v>2983</v>
      </c>
      <c r="D32" s="1409">
        <v>1080</v>
      </c>
      <c r="E32" s="1423" t="s">
        <v>212</v>
      </c>
    </row>
    <row r="33" spans="3:6">
      <c r="C33" s="830"/>
    </row>
    <row r="34" spans="3:6">
      <c r="C34" s="1422" t="s">
        <v>2486</v>
      </c>
      <c r="D34" s="831">
        <v>3.3333333333333333E-2</v>
      </c>
      <c r="F34" s="1423" t="s">
        <v>4110</v>
      </c>
    </row>
    <row r="35" spans="3:6">
      <c r="C35" s="1422" t="s">
        <v>4111</v>
      </c>
      <c r="D35" s="831">
        <v>31</v>
      </c>
    </row>
    <row r="36" spans="3:6">
      <c r="C36" s="1422" t="s">
        <v>1588</v>
      </c>
      <c r="D36" s="831">
        <v>34.838709677419352</v>
      </c>
      <c r="E36" s="1423" t="s">
        <v>212</v>
      </c>
    </row>
    <row r="37" spans="3:6">
      <c r="C37" s="1422" t="s">
        <v>2537</v>
      </c>
      <c r="D37" s="831">
        <v>36</v>
      </c>
      <c r="E37" s="1423" t="s">
        <v>212</v>
      </c>
    </row>
    <row r="38" spans="3:6">
      <c r="C38" s="830"/>
    </row>
    <row r="39" spans="3:6">
      <c r="C39" s="1456" t="s">
        <v>4112</v>
      </c>
      <c r="D39" s="831">
        <v>36</v>
      </c>
      <c r="E39" s="1423" t="s">
        <v>212</v>
      </c>
      <c r="F39" s="1423" t="s">
        <v>4113</v>
      </c>
    </row>
    <row r="40" spans="3:6">
      <c r="C40" s="830"/>
      <c r="F40" s="1423" t="s">
        <v>4114</v>
      </c>
    </row>
  </sheetData>
  <pageMargins left="0.78740157499999996" right="0.78740157499999996" top="0.984251969" bottom="0.984251969" header="0.4921259845" footer="0.492125984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8"/>
  <sheetViews>
    <sheetView workbookViewId="0">
      <selection activeCell="J26" sqref="J26"/>
    </sheetView>
  </sheetViews>
  <sheetFormatPr baseColWidth="10" defaultRowHeight="12.75"/>
  <cols>
    <col min="1" max="6" width="11.42578125" style="831"/>
    <col min="7" max="7" width="15" style="831" customWidth="1"/>
    <col min="8" max="262" width="11.42578125" style="831"/>
    <col min="263" max="263" width="15" style="831" customWidth="1"/>
    <col min="264" max="518" width="11.42578125" style="831"/>
    <col min="519" max="519" width="15" style="831" customWidth="1"/>
    <col min="520" max="774" width="11.42578125" style="831"/>
    <col min="775" max="775" width="15" style="831" customWidth="1"/>
    <col min="776" max="1030" width="11.42578125" style="831"/>
    <col min="1031" max="1031" width="15" style="831" customWidth="1"/>
    <col min="1032" max="1286" width="11.42578125" style="831"/>
    <col min="1287" max="1287" width="15" style="831" customWidth="1"/>
    <col min="1288" max="1542" width="11.42578125" style="831"/>
    <col min="1543" max="1543" width="15" style="831" customWidth="1"/>
    <col min="1544" max="1798" width="11.42578125" style="831"/>
    <col min="1799" max="1799" width="15" style="831" customWidth="1"/>
    <col min="1800" max="2054" width="11.42578125" style="831"/>
    <col min="2055" max="2055" width="15" style="831" customWidth="1"/>
    <col min="2056" max="2310" width="11.42578125" style="831"/>
    <col min="2311" max="2311" width="15" style="831" customWidth="1"/>
    <col min="2312" max="2566" width="11.42578125" style="831"/>
    <col min="2567" max="2567" width="15" style="831" customWidth="1"/>
    <col min="2568" max="2822" width="11.42578125" style="831"/>
    <col min="2823" max="2823" width="15" style="831" customWidth="1"/>
    <col min="2824" max="3078" width="11.42578125" style="831"/>
    <col min="3079" max="3079" width="15" style="831" customWidth="1"/>
    <col min="3080" max="3334" width="11.42578125" style="831"/>
    <col min="3335" max="3335" width="15" style="831" customWidth="1"/>
    <col min="3336" max="3590" width="11.42578125" style="831"/>
    <col min="3591" max="3591" width="15" style="831" customWidth="1"/>
    <col min="3592" max="3846" width="11.42578125" style="831"/>
    <col min="3847" max="3847" width="15" style="831" customWidth="1"/>
    <col min="3848" max="4102" width="11.42578125" style="831"/>
    <col min="4103" max="4103" width="15" style="831" customWidth="1"/>
    <col min="4104" max="4358" width="11.42578125" style="831"/>
    <col min="4359" max="4359" width="15" style="831" customWidth="1"/>
    <col min="4360" max="4614" width="11.42578125" style="831"/>
    <col min="4615" max="4615" width="15" style="831" customWidth="1"/>
    <col min="4616" max="4870" width="11.42578125" style="831"/>
    <col min="4871" max="4871" width="15" style="831" customWidth="1"/>
    <col min="4872" max="5126" width="11.42578125" style="831"/>
    <col min="5127" max="5127" width="15" style="831" customWidth="1"/>
    <col min="5128" max="5382" width="11.42578125" style="831"/>
    <col min="5383" max="5383" width="15" style="831" customWidth="1"/>
    <col min="5384" max="5638" width="11.42578125" style="831"/>
    <col min="5639" max="5639" width="15" style="831" customWidth="1"/>
    <col min="5640" max="5894" width="11.42578125" style="831"/>
    <col min="5895" max="5895" width="15" style="831" customWidth="1"/>
    <col min="5896" max="6150" width="11.42578125" style="831"/>
    <col min="6151" max="6151" width="15" style="831" customWidth="1"/>
    <col min="6152" max="6406" width="11.42578125" style="831"/>
    <col min="6407" max="6407" width="15" style="831" customWidth="1"/>
    <col min="6408" max="6662" width="11.42578125" style="831"/>
    <col min="6663" max="6663" width="15" style="831" customWidth="1"/>
    <col min="6664" max="6918" width="11.42578125" style="831"/>
    <col min="6919" max="6919" width="15" style="831" customWidth="1"/>
    <col min="6920" max="7174" width="11.42578125" style="831"/>
    <col min="7175" max="7175" width="15" style="831" customWidth="1"/>
    <col min="7176" max="7430" width="11.42578125" style="831"/>
    <col min="7431" max="7431" width="15" style="831" customWidth="1"/>
    <col min="7432" max="7686" width="11.42578125" style="831"/>
    <col min="7687" max="7687" width="15" style="831" customWidth="1"/>
    <col min="7688" max="7942" width="11.42578125" style="831"/>
    <col min="7943" max="7943" width="15" style="831" customWidth="1"/>
    <col min="7944" max="8198" width="11.42578125" style="831"/>
    <col min="8199" max="8199" width="15" style="831" customWidth="1"/>
    <col min="8200" max="8454" width="11.42578125" style="831"/>
    <col min="8455" max="8455" width="15" style="831" customWidth="1"/>
    <col min="8456" max="8710" width="11.42578125" style="831"/>
    <col min="8711" max="8711" width="15" style="831" customWidth="1"/>
    <col min="8712" max="8966" width="11.42578125" style="831"/>
    <col min="8967" max="8967" width="15" style="831" customWidth="1"/>
    <col min="8968" max="9222" width="11.42578125" style="831"/>
    <col min="9223" max="9223" width="15" style="831" customWidth="1"/>
    <col min="9224" max="9478" width="11.42578125" style="831"/>
    <col min="9479" max="9479" width="15" style="831" customWidth="1"/>
    <col min="9480" max="9734" width="11.42578125" style="831"/>
    <col min="9735" max="9735" width="15" style="831" customWidth="1"/>
    <col min="9736" max="9990" width="11.42578125" style="831"/>
    <col min="9991" max="9991" width="15" style="831" customWidth="1"/>
    <col min="9992" max="10246" width="11.42578125" style="831"/>
    <col min="10247" max="10247" width="15" style="831" customWidth="1"/>
    <col min="10248" max="10502" width="11.42578125" style="831"/>
    <col min="10503" max="10503" width="15" style="831" customWidth="1"/>
    <col min="10504" max="10758" width="11.42578125" style="831"/>
    <col min="10759" max="10759" width="15" style="831" customWidth="1"/>
    <col min="10760" max="11014" width="11.42578125" style="831"/>
    <col min="11015" max="11015" width="15" style="831" customWidth="1"/>
    <col min="11016" max="11270" width="11.42578125" style="831"/>
    <col min="11271" max="11271" width="15" style="831" customWidth="1"/>
    <col min="11272" max="11526" width="11.42578125" style="831"/>
    <col min="11527" max="11527" width="15" style="831" customWidth="1"/>
    <col min="11528" max="11782" width="11.42578125" style="831"/>
    <col min="11783" max="11783" width="15" style="831" customWidth="1"/>
    <col min="11784" max="12038" width="11.42578125" style="831"/>
    <col min="12039" max="12039" width="15" style="831" customWidth="1"/>
    <col min="12040" max="12294" width="11.42578125" style="831"/>
    <col min="12295" max="12295" width="15" style="831" customWidth="1"/>
    <col min="12296" max="12550" width="11.42578125" style="831"/>
    <col min="12551" max="12551" width="15" style="831" customWidth="1"/>
    <col min="12552" max="12806" width="11.42578125" style="831"/>
    <col min="12807" max="12807" width="15" style="831" customWidth="1"/>
    <col min="12808" max="13062" width="11.42578125" style="831"/>
    <col min="13063" max="13063" width="15" style="831" customWidth="1"/>
    <col min="13064" max="13318" width="11.42578125" style="831"/>
    <col min="13319" max="13319" width="15" style="831" customWidth="1"/>
    <col min="13320" max="13574" width="11.42578125" style="831"/>
    <col min="13575" max="13575" width="15" style="831" customWidth="1"/>
    <col min="13576" max="13830" width="11.42578125" style="831"/>
    <col min="13831" max="13831" width="15" style="831" customWidth="1"/>
    <col min="13832" max="14086" width="11.42578125" style="831"/>
    <col min="14087" max="14087" width="15" style="831" customWidth="1"/>
    <col min="14088" max="14342" width="11.42578125" style="831"/>
    <col min="14343" max="14343" width="15" style="831" customWidth="1"/>
    <col min="14344" max="14598" width="11.42578125" style="831"/>
    <col min="14599" max="14599" width="15" style="831" customWidth="1"/>
    <col min="14600" max="14854" width="11.42578125" style="831"/>
    <col min="14855" max="14855" width="15" style="831" customWidth="1"/>
    <col min="14856" max="15110" width="11.42578125" style="831"/>
    <col min="15111" max="15111" width="15" style="831" customWidth="1"/>
    <col min="15112" max="15366" width="11.42578125" style="831"/>
    <col min="15367" max="15367" width="15" style="831" customWidth="1"/>
    <col min="15368" max="15622" width="11.42578125" style="831"/>
    <col min="15623" max="15623" width="15" style="831" customWidth="1"/>
    <col min="15624" max="15878" width="11.42578125" style="831"/>
    <col min="15879" max="15879" width="15" style="831" customWidth="1"/>
    <col min="15880" max="16134" width="11.42578125" style="831"/>
    <col min="16135" max="16135" width="15" style="831" customWidth="1"/>
    <col min="16136" max="16384" width="11.42578125" style="831"/>
  </cols>
  <sheetData>
    <row r="1" spans="1:7" ht="13.5" thickBot="1"/>
    <row r="2" spans="1:7">
      <c r="A2" s="963" t="s">
        <v>4115</v>
      </c>
      <c r="B2" s="1381" t="s">
        <v>4116</v>
      </c>
      <c r="C2" s="1382"/>
      <c r="D2" s="1382"/>
      <c r="E2" s="1382"/>
      <c r="F2" s="1382"/>
      <c r="G2" s="1383"/>
    </row>
    <row r="3" spans="1:7">
      <c r="B3" s="1384" t="s">
        <v>4117</v>
      </c>
      <c r="C3" s="829"/>
      <c r="D3" s="829"/>
      <c r="E3" s="829"/>
      <c r="F3" s="829"/>
      <c r="G3" s="1385"/>
    </row>
    <row r="4" spans="1:7" ht="13.5" thickBot="1">
      <c r="B4" s="1386" t="s">
        <v>4118</v>
      </c>
      <c r="C4" s="1387"/>
      <c r="D4" s="1387"/>
      <c r="E4" s="1387"/>
      <c r="F4" s="1387"/>
      <c r="G4" s="1388"/>
    </row>
    <row r="6" spans="1:7">
      <c r="B6" s="818"/>
      <c r="C6" s="831" t="s">
        <v>3977</v>
      </c>
    </row>
    <row r="7" spans="1:7" ht="13.5" thickBot="1"/>
    <row r="8" spans="1:7">
      <c r="B8" s="1389" t="s">
        <v>3978</v>
      </c>
      <c r="C8" s="1390"/>
      <c r="D8" s="1390"/>
      <c r="E8" s="1391"/>
    </row>
    <row r="9" spans="1:7">
      <c r="B9" s="1392" t="s">
        <v>3045</v>
      </c>
      <c r="C9" s="1096"/>
      <c r="D9" s="1393">
        <v>3400</v>
      </c>
      <c r="E9" s="1394" t="s">
        <v>212</v>
      </c>
    </row>
    <row r="10" spans="1:7">
      <c r="B10" s="1392" t="s">
        <v>1774</v>
      </c>
      <c r="C10" s="1096"/>
      <c r="D10" s="1393">
        <v>36</v>
      </c>
      <c r="E10" s="1394" t="s">
        <v>212</v>
      </c>
    </row>
    <row r="11" spans="1:7" ht="13.5" thickBot="1">
      <c r="B11" s="1457" t="s">
        <v>1959</v>
      </c>
      <c r="C11" s="1458"/>
      <c r="D11" s="1459">
        <v>7200</v>
      </c>
      <c r="E11" s="1460" t="s">
        <v>212</v>
      </c>
    </row>
    <row r="12" spans="1:7" ht="13.5" thickTop="1">
      <c r="B12" s="1392" t="s">
        <v>318</v>
      </c>
      <c r="C12" s="1096"/>
      <c r="D12" s="827">
        <v>18</v>
      </c>
      <c r="E12" s="1394" t="s">
        <v>212</v>
      </c>
    </row>
    <row r="13" spans="1:7" ht="13.5" thickBot="1">
      <c r="B13" s="1395" t="s">
        <v>317</v>
      </c>
      <c r="C13" s="1396"/>
      <c r="D13" s="1461">
        <v>13</v>
      </c>
      <c r="E13" s="1398" t="s">
        <v>212</v>
      </c>
    </row>
    <row r="14" spans="1:7" ht="13.5" thickBot="1"/>
    <row r="15" spans="1:7">
      <c r="B15" s="1389" t="s">
        <v>2486</v>
      </c>
      <c r="C15" s="1390"/>
      <c r="D15" s="1462">
        <v>5.0000000000000001E-3</v>
      </c>
      <c r="E15" s="1391"/>
      <c r="F15" s="831" t="s">
        <v>4085</v>
      </c>
    </row>
    <row r="16" spans="1:7" ht="13.5" thickBot="1">
      <c r="B16" s="1395" t="s">
        <v>2663</v>
      </c>
      <c r="C16" s="1396"/>
      <c r="D16" s="1449">
        <v>201</v>
      </c>
      <c r="E16" s="1398"/>
      <c r="F16" s="831" t="s">
        <v>4071</v>
      </c>
    </row>
    <row r="17" spans="2:6" ht="13.5" thickBot="1"/>
    <row r="18" spans="2:6" ht="13.5" thickBot="1">
      <c r="B18" s="1405" t="s">
        <v>4119</v>
      </c>
      <c r="C18" s="1406"/>
      <c r="D18" s="1446">
        <v>17</v>
      </c>
      <c r="E18" s="1408" t="s">
        <v>212</v>
      </c>
      <c r="F18" s="831" t="s">
        <v>4120</v>
      </c>
    </row>
  </sheetData>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5"/>
  <sheetViews>
    <sheetView workbookViewId="0">
      <selection activeCell="J26" sqref="J26"/>
    </sheetView>
  </sheetViews>
  <sheetFormatPr baseColWidth="10" defaultRowHeight="12.75"/>
  <cols>
    <col min="1" max="1" width="11.42578125" style="831"/>
    <col min="2" max="2" width="35.5703125" style="831" customWidth="1"/>
    <col min="3" max="257" width="11.42578125" style="831"/>
    <col min="258" max="258" width="35.5703125" style="831" customWidth="1"/>
    <col min="259" max="513" width="11.42578125" style="831"/>
    <col min="514" max="514" width="35.5703125" style="831" customWidth="1"/>
    <col min="515" max="769" width="11.42578125" style="831"/>
    <col min="770" max="770" width="35.5703125" style="831" customWidth="1"/>
    <col min="771" max="1025" width="11.42578125" style="831"/>
    <col min="1026" max="1026" width="35.5703125" style="831" customWidth="1"/>
    <col min="1027" max="1281" width="11.42578125" style="831"/>
    <col min="1282" max="1282" width="35.5703125" style="831" customWidth="1"/>
    <col min="1283" max="1537" width="11.42578125" style="831"/>
    <col min="1538" max="1538" width="35.5703125" style="831" customWidth="1"/>
    <col min="1539" max="1793" width="11.42578125" style="831"/>
    <col min="1794" max="1794" width="35.5703125" style="831" customWidth="1"/>
    <col min="1795" max="2049" width="11.42578125" style="831"/>
    <col min="2050" max="2050" width="35.5703125" style="831" customWidth="1"/>
    <col min="2051" max="2305" width="11.42578125" style="831"/>
    <col min="2306" max="2306" width="35.5703125" style="831" customWidth="1"/>
    <col min="2307" max="2561" width="11.42578125" style="831"/>
    <col min="2562" max="2562" width="35.5703125" style="831" customWidth="1"/>
    <col min="2563" max="2817" width="11.42578125" style="831"/>
    <col min="2818" max="2818" width="35.5703125" style="831" customWidth="1"/>
    <col min="2819" max="3073" width="11.42578125" style="831"/>
    <col min="3074" max="3074" width="35.5703125" style="831" customWidth="1"/>
    <col min="3075" max="3329" width="11.42578125" style="831"/>
    <col min="3330" max="3330" width="35.5703125" style="831" customWidth="1"/>
    <col min="3331" max="3585" width="11.42578125" style="831"/>
    <col min="3586" max="3586" width="35.5703125" style="831" customWidth="1"/>
    <col min="3587" max="3841" width="11.42578125" style="831"/>
    <col min="3842" max="3842" width="35.5703125" style="831" customWidth="1"/>
    <col min="3843" max="4097" width="11.42578125" style="831"/>
    <col min="4098" max="4098" width="35.5703125" style="831" customWidth="1"/>
    <col min="4099" max="4353" width="11.42578125" style="831"/>
    <col min="4354" max="4354" width="35.5703125" style="831" customWidth="1"/>
    <col min="4355" max="4609" width="11.42578125" style="831"/>
    <col min="4610" max="4610" width="35.5703125" style="831" customWidth="1"/>
    <col min="4611" max="4865" width="11.42578125" style="831"/>
    <col min="4866" max="4866" width="35.5703125" style="831" customWidth="1"/>
    <col min="4867" max="5121" width="11.42578125" style="831"/>
    <col min="5122" max="5122" width="35.5703125" style="831" customWidth="1"/>
    <col min="5123" max="5377" width="11.42578125" style="831"/>
    <col min="5378" max="5378" width="35.5703125" style="831" customWidth="1"/>
    <col min="5379" max="5633" width="11.42578125" style="831"/>
    <col min="5634" max="5634" width="35.5703125" style="831" customWidth="1"/>
    <col min="5635" max="5889" width="11.42578125" style="831"/>
    <col min="5890" max="5890" width="35.5703125" style="831" customWidth="1"/>
    <col min="5891" max="6145" width="11.42578125" style="831"/>
    <col min="6146" max="6146" width="35.5703125" style="831" customWidth="1"/>
    <col min="6147" max="6401" width="11.42578125" style="831"/>
    <col min="6402" max="6402" width="35.5703125" style="831" customWidth="1"/>
    <col min="6403" max="6657" width="11.42578125" style="831"/>
    <col min="6658" max="6658" width="35.5703125" style="831" customWidth="1"/>
    <col min="6659" max="6913" width="11.42578125" style="831"/>
    <col min="6914" max="6914" width="35.5703125" style="831" customWidth="1"/>
    <col min="6915" max="7169" width="11.42578125" style="831"/>
    <col min="7170" max="7170" width="35.5703125" style="831" customWidth="1"/>
    <col min="7171" max="7425" width="11.42578125" style="831"/>
    <col min="7426" max="7426" width="35.5703125" style="831" customWidth="1"/>
    <col min="7427" max="7681" width="11.42578125" style="831"/>
    <col min="7682" max="7682" width="35.5703125" style="831" customWidth="1"/>
    <col min="7683" max="7937" width="11.42578125" style="831"/>
    <col min="7938" max="7938" width="35.5703125" style="831" customWidth="1"/>
    <col min="7939" max="8193" width="11.42578125" style="831"/>
    <col min="8194" max="8194" width="35.5703125" style="831" customWidth="1"/>
    <col min="8195" max="8449" width="11.42578125" style="831"/>
    <col min="8450" max="8450" width="35.5703125" style="831" customWidth="1"/>
    <col min="8451" max="8705" width="11.42578125" style="831"/>
    <col min="8706" max="8706" width="35.5703125" style="831" customWidth="1"/>
    <col min="8707" max="8961" width="11.42578125" style="831"/>
    <col min="8962" max="8962" width="35.5703125" style="831" customWidth="1"/>
    <col min="8963" max="9217" width="11.42578125" style="831"/>
    <col min="9218" max="9218" width="35.5703125" style="831" customWidth="1"/>
    <col min="9219" max="9473" width="11.42578125" style="831"/>
    <col min="9474" max="9474" width="35.5703125" style="831" customWidth="1"/>
    <col min="9475" max="9729" width="11.42578125" style="831"/>
    <col min="9730" max="9730" width="35.5703125" style="831" customWidth="1"/>
    <col min="9731" max="9985" width="11.42578125" style="831"/>
    <col min="9986" max="9986" width="35.5703125" style="831" customWidth="1"/>
    <col min="9987" max="10241" width="11.42578125" style="831"/>
    <col min="10242" max="10242" width="35.5703125" style="831" customWidth="1"/>
    <col min="10243" max="10497" width="11.42578125" style="831"/>
    <col min="10498" max="10498" width="35.5703125" style="831" customWidth="1"/>
    <col min="10499" max="10753" width="11.42578125" style="831"/>
    <col min="10754" max="10754" width="35.5703125" style="831" customWidth="1"/>
    <col min="10755" max="11009" width="11.42578125" style="831"/>
    <col min="11010" max="11010" width="35.5703125" style="831" customWidth="1"/>
    <col min="11011" max="11265" width="11.42578125" style="831"/>
    <col min="11266" max="11266" width="35.5703125" style="831" customWidth="1"/>
    <col min="11267" max="11521" width="11.42578125" style="831"/>
    <col min="11522" max="11522" width="35.5703125" style="831" customWidth="1"/>
    <col min="11523" max="11777" width="11.42578125" style="831"/>
    <col min="11778" max="11778" width="35.5703125" style="831" customWidth="1"/>
    <col min="11779" max="12033" width="11.42578125" style="831"/>
    <col min="12034" max="12034" width="35.5703125" style="831" customWidth="1"/>
    <col min="12035" max="12289" width="11.42578125" style="831"/>
    <col min="12290" max="12290" width="35.5703125" style="831" customWidth="1"/>
    <col min="12291" max="12545" width="11.42578125" style="831"/>
    <col min="12546" max="12546" width="35.5703125" style="831" customWidth="1"/>
    <col min="12547" max="12801" width="11.42578125" style="831"/>
    <col min="12802" max="12802" width="35.5703125" style="831" customWidth="1"/>
    <col min="12803" max="13057" width="11.42578125" style="831"/>
    <col min="13058" max="13058" width="35.5703125" style="831" customWidth="1"/>
    <col min="13059" max="13313" width="11.42578125" style="831"/>
    <col min="13314" max="13314" width="35.5703125" style="831" customWidth="1"/>
    <col min="13315" max="13569" width="11.42578125" style="831"/>
    <col min="13570" max="13570" width="35.5703125" style="831" customWidth="1"/>
    <col min="13571" max="13825" width="11.42578125" style="831"/>
    <col min="13826" max="13826" width="35.5703125" style="831" customWidth="1"/>
    <col min="13827" max="14081" width="11.42578125" style="831"/>
    <col min="14082" max="14082" width="35.5703125" style="831" customWidth="1"/>
    <col min="14083" max="14337" width="11.42578125" style="831"/>
    <col min="14338" max="14338" width="35.5703125" style="831" customWidth="1"/>
    <col min="14339" max="14593" width="11.42578125" style="831"/>
    <col min="14594" max="14594" width="35.5703125" style="831" customWidth="1"/>
    <col min="14595" max="14849" width="11.42578125" style="831"/>
    <col min="14850" max="14850" width="35.5703125" style="831" customWidth="1"/>
    <col min="14851" max="15105" width="11.42578125" style="831"/>
    <col min="15106" max="15106" width="35.5703125" style="831" customWidth="1"/>
    <col min="15107" max="15361" width="11.42578125" style="831"/>
    <col min="15362" max="15362" width="35.5703125" style="831" customWidth="1"/>
    <col min="15363" max="15617" width="11.42578125" style="831"/>
    <col min="15618" max="15618" width="35.5703125" style="831" customWidth="1"/>
    <col min="15619" max="15873" width="11.42578125" style="831"/>
    <col min="15874" max="15874" width="35.5703125" style="831" customWidth="1"/>
    <col min="15875" max="16129" width="11.42578125" style="831"/>
    <col min="16130" max="16130" width="35.5703125" style="831" customWidth="1"/>
    <col min="16131" max="16384" width="11.42578125" style="831"/>
  </cols>
  <sheetData>
    <row r="1" spans="1:9" ht="13.5" thickBot="1">
      <c r="H1" s="827"/>
      <c r="I1" s="827"/>
    </row>
    <row r="2" spans="1:9">
      <c r="A2" s="963" t="s">
        <v>4121</v>
      </c>
      <c r="B2" s="1381" t="s">
        <v>4122</v>
      </c>
      <c r="C2" s="1382"/>
      <c r="D2" s="1382"/>
      <c r="E2" s="1382"/>
      <c r="F2" s="1382"/>
      <c r="G2" s="1383"/>
      <c r="H2" s="827"/>
      <c r="I2" s="827"/>
    </row>
    <row r="3" spans="1:9" ht="13.5" thickBot="1">
      <c r="B3" s="1386" t="s">
        <v>4123</v>
      </c>
      <c r="C3" s="1387"/>
      <c r="D3" s="1387"/>
      <c r="E3" s="1387"/>
      <c r="F3" s="1387"/>
      <c r="G3" s="1388"/>
      <c r="H3" s="827"/>
      <c r="I3" s="827"/>
    </row>
    <row r="4" spans="1:9">
      <c r="H4" s="827"/>
      <c r="I4" s="827"/>
    </row>
    <row r="6" spans="1:9">
      <c r="B6" s="1096" t="s">
        <v>4124</v>
      </c>
      <c r="C6" s="1096"/>
      <c r="D6" s="1096"/>
      <c r="E6" s="1096"/>
      <c r="F6" s="1096"/>
      <c r="G6" s="1096"/>
    </row>
    <row r="7" spans="1:9" ht="13.5" thickBot="1">
      <c r="B7" s="1096"/>
      <c r="C7" s="1096"/>
      <c r="D7" s="1096"/>
      <c r="E7" s="1096"/>
      <c r="F7" s="1096"/>
      <c r="G7" s="1096"/>
    </row>
    <row r="8" spans="1:9">
      <c r="B8" s="1389" t="s">
        <v>4125</v>
      </c>
      <c r="C8" s="1390">
        <v>72</v>
      </c>
      <c r="D8" s="1390">
        <v>60</v>
      </c>
      <c r="E8" s="1390">
        <v>54</v>
      </c>
      <c r="F8" s="1390">
        <v>48</v>
      </c>
      <c r="G8" s="1391">
        <v>42</v>
      </c>
    </row>
    <row r="9" spans="1:9">
      <c r="B9" s="1392" t="s">
        <v>4126</v>
      </c>
      <c r="C9" s="1096">
        <v>24</v>
      </c>
      <c r="D9" s="1096">
        <v>20</v>
      </c>
      <c r="E9" s="1096">
        <v>18</v>
      </c>
      <c r="F9" s="1096">
        <v>16</v>
      </c>
      <c r="G9" s="1394">
        <v>14</v>
      </c>
    </row>
    <row r="10" spans="1:9" ht="13.5" thickBot="1">
      <c r="B10" s="1395" t="s">
        <v>2747</v>
      </c>
      <c r="C10" s="1451">
        <v>18</v>
      </c>
      <c r="D10" s="1451">
        <v>15</v>
      </c>
      <c r="E10" s="1451">
        <v>13.5</v>
      </c>
      <c r="F10" s="1451">
        <v>12</v>
      </c>
      <c r="G10" s="1463">
        <v>10.5</v>
      </c>
    </row>
    <row r="11" spans="1:9" ht="13.5" thickBot="1"/>
    <row r="12" spans="1:9">
      <c r="B12" s="1389" t="s">
        <v>4048</v>
      </c>
      <c r="C12" s="1444">
        <v>0.33333333333333331</v>
      </c>
      <c r="D12" s="1444">
        <v>0.33333333333333331</v>
      </c>
      <c r="E12" s="1444">
        <v>0.33333333333333331</v>
      </c>
      <c r="F12" s="1444">
        <v>0.33333333333333331</v>
      </c>
      <c r="G12" s="1464">
        <v>0.33333333333333331</v>
      </c>
    </row>
    <row r="13" spans="1:9">
      <c r="B13" s="1392" t="s">
        <v>4127</v>
      </c>
      <c r="C13" s="1465">
        <v>4</v>
      </c>
      <c r="D13" s="1465">
        <v>4</v>
      </c>
      <c r="E13" s="1465">
        <v>4</v>
      </c>
      <c r="F13" s="1465">
        <v>4</v>
      </c>
      <c r="G13" s="1466">
        <v>4</v>
      </c>
    </row>
    <row r="14" spans="1:9" ht="13.5" thickBot="1">
      <c r="B14" s="1395" t="s">
        <v>4128</v>
      </c>
      <c r="C14" s="1396">
        <v>18</v>
      </c>
      <c r="D14" s="1396">
        <v>15</v>
      </c>
      <c r="E14" s="1396">
        <v>13.5</v>
      </c>
      <c r="F14" s="1396">
        <v>12</v>
      </c>
      <c r="G14" s="1398">
        <v>10.5</v>
      </c>
    </row>
    <row r="17" spans="2:7">
      <c r="B17" s="831" t="s">
        <v>4129</v>
      </c>
    </row>
    <row r="18" spans="2:7" ht="13.5" thickBot="1"/>
    <row r="19" spans="2:7">
      <c r="B19" s="1389" t="s">
        <v>4125</v>
      </c>
      <c r="C19" s="1390">
        <v>24</v>
      </c>
      <c r="D19" s="1390">
        <v>20</v>
      </c>
      <c r="E19" s="1390">
        <v>18</v>
      </c>
      <c r="F19" s="1390">
        <v>16</v>
      </c>
      <c r="G19" s="1391">
        <v>14</v>
      </c>
    </row>
    <row r="20" spans="2:7">
      <c r="B20" s="1392" t="s">
        <v>4126</v>
      </c>
      <c r="C20" s="1096">
        <v>72</v>
      </c>
      <c r="D20" s="1096">
        <v>60</v>
      </c>
      <c r="E20" s="1096">
        <v>54</v>
      </c>
      <c r="F20" s="827">
        <v>48</v>
      </c>
      <c r="G20" s="1394">
        <v>42</v>
      </c>
    </row>
    <row r="21" spans="2:7" ht="13.5" thickBot="1">
      <c r="B21" s="1395" t="s">
        <v>2747</v>
      </c>
      <c r="C21" s="1451">
        <v>18</v>
      </c>
      <c r="D21" s="1451">
        <v>15</v>
      </c>
      <c r="E21" s="1451">
        <v>13.5</v>
      </c>
      <c r="F21" s="1451">
        <v>12</v>
      </c>
      <c r="G21" s="1463">
        <v>10.5</v>
      </c>
    </row>
    <row r="22" spans="2:7" ht="13.5" thickBot="1"/>
    <row r="23" spans="2:7">
      <c r="B23" s="1389" t="s">
        <v>4048</v>
      </c>
      <c r="C23" s="1390">
        <v>3</v>
      </c>
      <c r="D23" s="1390">
        <v>3</v>
      </c>
      <c r="E23" s="1390">
        <v>3</v>
      </c>
      <c r="F23" s="1390">
        <v>3</v>
      </c>
      <c r="G23" s="1391">
        <v>3</v>
      </c>
    </row>
    <row r="24" spans="2:7">
      <c r="B24" s="1392" t="s">
        <v>4127</v>
      </c>
      <c r="C24" s="1437">
        <v>1.3333333333333333</v>
      </c>
      <c r="D24" s="1437">
        <v>1.3333333333333333</v>
      </c>
      <c r="E24" s="1437">
        <v>1.3333333333333333</v>
      </c>
      <c r="F24" s="1437">
        <v>1.3333333333333333</v>
      </c>
      <c r="G24" s="1467">
        <v>1.3333333333333333</v>
      </c>
    </row>
    <row r="25" spans="2:7" ht="13.5" thickBot="1">
      <c r="B25" s="1395" t="s">
        <v>4128</v>
      </c>
      <c r="C25" s="1396">
        <v>18</v>
      </c>
      <c r="D25" s="1396">
        <v>15</v>
      </c>
      <c r="E25" s="1396">
        <v>13.5</v>
      </c>
      <c r="F25" s="1396">
        <v>12</v>
      </c>
      <c r="G25" s="1398">
        <v>10.5</v>
      </c>
    </row>
  </sheetData>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C6" sqref="C6"/>
    </sheetView>
  </sheetViews>
  <sheetFormatPr baseColWidth="10" defaultRowHeight="12.75"/>
  <cols>
    <col min="2" max="2" width="28.85546875" customWidth="1"/>
  </cols>
  <sheetData>
    <row r="1" spans="1:8">
      <c r="A1" s="24"/>
      <c r="B1" s="24"/>
      <c r="C1" s="24"/>
      <c r="D1" s="24"/>
      <c r="E1" s="24"/>
      <c r="F1" s="24"/>
      <c r="G1" s="24"/>
      <c r="H1" s="24"/>
    </row>
    <row r="2" spans="1:8">
      <c r="A2" s="24"/>
      <c r="B2" s="24" t="s">
        <v>161</v>
      </c>
      <c r="C2" s="24"/>
      <c r="D2" s="24"/>
      <c r="E2" s="24"/>
      <c r="F2" s="24"/>
      <c r="G2" s="24"/>
      <c r="H2" s="24"/>
    </row>
    <row r="3" spans="1:8">
      <c r="A3" s="24"/>
      <c r="B3" s="24"/>
      <c r="C3" s="24"/>
      <c r="D3" s="24"/>
      <c r="E3" s="24"/>
      <c r="F3" s="24"/>
      <c r="G3" s="24"/>
      <c r="H3" s="24"/>
    </row>
    <row r="4" spans="1:8">
      <c r="A4" s="24"/>
      <c r="B4" s="24" t="s">
        <v>165</v>
      </c>
      <c r="C4" s="24"/>
      <c r="D4" s="24"/>
      <c r="E4" s="24"/>
      <c r="F4" s="24"/>
      <c r="G4" s="24"/>
      <c r="H4" s="24"/>
    </row>
    <row r="5" spans="1:8">
      <c r="A5" s="24"/>
      <c r="B5" s="24"/>
      <c r="C5" s="24"/>
      <c r="D5" s="24"/>
      <c r="E5" s="24"/>
      <c r="F5" s="24"/>
      <c r="G5" s="24"/>
      <c r="H5" s="24"/>
    </row>
    <row r="6" spans="1:8">
      <c r="A6" s="24"/>
      <c r="B6" s="37" t="s">
        <v>162</v>
      </c>
      <c r="C6" s="465">
        <v>1.2</v>
      </c>
      <c r="D6" s="24"/>
      <c r="E6" s="24"/>
      <c r="F6" s="24"/>
      <c r="G6" s="24"/>
      <c r="H6" s="24"/>
    </row>
    <row r="7" spans="1:8">
      <c r="A7" s="24"/>
      <c r="B7" s="37" t="s">
        <v>163</v>
      </c>
      <c r="C7" s="465">
        <v>6.3</v>
      </c>
      <c r="D7" s="24"/>
      <c r="E7" s="24"/>
      <c r="F7" s="24"/>
      <c r="G7" s="24"/>
      <c r="H7" s="24"/>
    </row>
    <row r="8" spans="1:8">
      <c r="A8" s="24"/>
      <c r="B8" s="37" t="s">
        <v>164</v>
      </c>
      <c r="C8" s="465">
        <v>13.48</v>
      </c>
      <c r="D8" s="24"/>
      <c r="E8" s="24"/>
      <c r="F8" s="24"/>
      <c r="G8" s="24"/>
      <c r="H8" s="24"/>
    </row>
    <row r="9" spans="1:8">
      <c r="A9" s="24"/>
      <c r="B9" s="37"/>
      <c r="C9" s="24"/>
      <c r="D9" s="24"/>
      <c r="E9" s="24"/>
      <c r="F9" s="24"/>
      <c r="G9" s="24"/>
      <c r="H9" s="24"/>
    </row>
    <row r="10" spans="1:8">
      <c r="A10" s="24"/>
      <c r="B10" s="37" t="s">
        <v>166</v>
      </c>
      <c r="C10" s="61">
        <f>C6*C7*C8</f>
        <v>101.9088</v>
      </c>
      <c r="D10" s="24"/>
      <c r="E10" s="24"/>
      <c r="F10" s="24"/>
      <c r="G10" s="24"/>
      <c r="H10" s="24"/>
    </row>
    <row r="11" spans="1:8">
      <c r="A11" s="24"/>
      <c r="B11" s="37"/>
      <c r="C11" s="24"/>
      <c r="D11" s="24"/>
      <c r="E11" s="24"/>
      <c r="F11" s="24"/>
      <c r="G11" s="24"/>
      <c r="H11" s="24"/>
    </row>
    <row r="12" spans="1:8">
      <c r="A12" s="24"/>
      <c r="B12" s="37" t="s">
        <v>167</v>
      </c>
      <c r="C12" s="24" t="str">
        <f>"Das Produkt aus den drei Zahlen ist " &amp; C6 &amp; "; " &amp; C7 &amp;" und " &amp; C8 &amp; " ist " &amp; ROUND(C10,2) &amp; "."</f>
        <v>Das Produkt aus den drei Zahlen ist 1,2; 6,3 und 13,48 ist 101,91.</v>
      </c>
      <c r="D12" s="24"/>
      <c r="E12" s="24"/>
      <c r="F12" s="24"/>
      <c r="G12" s="24"/>
      <c r="H12" s="24"/>
    </row>
    <row r="13" spans="1:8">
      <c r="A13" s="24"/>
      <c r="B13" s="37"/>
      <c r="C13" s="24"/>
      <c r="D13" s="24"/>
      <c r="E13" s="24"/>
      <c r="F13" s="24"/>
      <c r="G13" s="24"/>
      <c r="H13" s="24"/>
    </row>
    <row r="14" spans="1:8">
      <c r="A14" s="24"/>
      <c r="B14" s="37"/>
      <c r="C14" s="24"/>
      <c r="D14" s="24"/>
      <c r="E14" s="24"/>
      <c r="F14" s="24"/>
      <c r="G14" s="24"/>
      <c r="H14" s="24"/>
    </row>
    <row r="15" spans="1:8">
      <c r="A15" s="24"/>
      <c r="B15" s="62" t="s">
        <v>168</v>
      </c>
      <c r="C15" s="24"/>
      <c r="D15" s="24"/>
      <c r="E15" s="24"/>
      <c r="F15" s="24"/>
      <c r="G15" s="24"/>
      <c r="H15" s="24"/>
    </row>
    <row r="16" spans="1:8">
      <c r="A16" s="24"/>
      <c r="B16" s="63" t="s">
        <v>169</v>
      </c>
      <c r="C16" s="24"/>
      <c r="D16" s="24"/>
      <c r="E16" s="24"/>
      <c r="F16" s="24"/>
      <c r="G16" s="24"/>
      <c r="H16" s="24"/>
    </row>
    <row r="17" spans="1:8">
      <c r="A17" s="24"/>
      <c r="B17" s="62" t="s">
        <v>170</v>
      </c>
      <c r="C17" s="24"/>
      <c r="D17" s="24"/>
      <c r="E17" s="24"/>
      <c r="F17" s="24"/>
      <c r="G17" s="24"/>
      <c r="H17" s="24"/>
    </row>
    <row r="18" spans="1:8">
      <c r="A18" s="24"/>
      <c r="B18" s="64" t="s">
        <v>171</v>
      </c>
      <c r="C18" s="24"/>
      <c r="D18" s="24"/>
      <c r="E18" s="24"/>
      <c r="F18" s="24"/>
      <c r="G18" s="24"/>
      <c r="H18" s="24"/>
    </row>
    <row r="19" spans="1:8">
      <c r="A19" s="24"/>
      <c r="B19" s="62"/>
      <c r="C19" s="24"/>
      <c r="D19" s="24"/>
      <c r="E19" s="24"/>
      <c r="F19" s="24"/>
      <c r="G19" s="24"/>
      <c r="H19" s="24"/>
    </row>
    <row r="20" spans="1:8">
      <c r="A20" s="24"/>
      <c r="B20" s="62" t="s">
        <v>172</v>
      </c>
      <c r="C20" s="24"/>
      <c r="D20" s="24"/>
      <c r="E20" s="24"/>
      <c r="F20" s="24"/>
      <c r="G20" s="24"/>
      <c r="H20" s="24"/>
    </row>
    <row r="21" spans="1:8">
      <c r="A21" s="24"/>
      <c r="B21" s="62" t="s">
        <v>174</v>
      </c>
      <c r="C21" s="24"/>
      <c r="D21" s="24"/>
      <c r="E21" s="24"/>
      <c r="F21" s="24"/>
      <c r="G21" s="24"/>
      <c r="H21" s="24"/>
    </row>
    <row r="22" spans="1:8">
      <c r="A22" s="24"/>
      <c r="B22" s="62" t="s">
        <v>173</v>
      </c>
      <c r="C22" s="24"/>
      <c r="D22" s="24"/>
      <c r="E22" s="24"/>
      <c r="F22" s="24"/>
      <c r="G22" s="24"/>
      <c r="H22" s="24"/>
    </row>
    <row r="23" spans="1:8">
      <c r="A23" s="24"/>
      <c r="B23" s="62"/>
      <c r="C23" s="24"/>
      <c r="D23" s="24"/>
      <c r="E23" s="24"/>
      <c r="F23" s="24"/>
      <c r="G23" s="24"/>
      <c r="H23" s="24"/>
    </row>
    <row r="24" spans="1:8">
      <c r="A24" s="24"/>
      <c r="B24" s="62"/>
      <c r="C24" s="24"/>
      <c r="D24" s="24"/>
      <c r="E24" s="24"/>
      <c r="F24" s="24"/>
      <c r="G24" s="24"/>
      <c r="H24" s="24"/>
    </row>
    <row r="25" spans="1:8">
      <c r="A25" s="24"/>
      <c r="B25" s="62" t="s">
        <v>175</v>
      </c>
      <c r="C25" s="61"/>
      <c r="D25" s="24"/>
      <c r="E25" s="24"/>
      <c r="F25" s="24"/>
      <c r="G25" s="24"/>
      <c r="H25" s="24"/>
    </row>
    <row r="26" spans="1:8">
      <c r="A26" s="24"/>
      <c r="B26" s="62"/>
      <c r="C26" s="24"/>
      <c r="D26" s="24"/>
      <c r="E26" s="24"/>
      <c r="F26" s="24"/>
      <c r="G26" s="24"/>
      <c r="H26" s="24"/>
    </row>
    <row r="27" spans="1:8">
      <c r="A27" s="24"/>
      <c r="B27" s="62"/>
      <c r="C27" s="24"/>
      <c r="D27" s="24"/>
      <c r="E27" s="24"/>
      <c r="F27" s="24"/>
      <c r="G27" s="24"/>
      <c r="H27" s="24"/>
    </row>
    <row r="28" spans="1:8">
      <c r="A28" s="24"/>
      <c r="B28" s="62"/>
      <c r="C28" s="24"/>
      <c r="D28" s="24"/>
      <c r="E28" s="24"/>
      <c r="F28" s="24"/>
      <c r="G28" s="24"/>
      <c r="H28" s="24"/>
    </row>
    <row r="29" spans="1:8">
      <c r="A29" s="24"/>
      <c r="B29" s="62"/>
      <c r="C29" s="24"/>
      <c r="D29" s="24"/>
      <c r="E29" s="24"/>
      <c r="F29" s="24"/>
      <c r="G29" s="24"/>
      <c r="H29" s="24"/>
    </row>
    <row r="30" spans="1:8">
      <c r="A30" s="24"/>
      <c r="B30" s="62"/>
      <c r="C30" s="24"/>
      <c r="D30" s="24"/>
      <c r="E30" s="24"/>
      <c r="F30" s="24"/>
      <c r="G30" s="24"/>
      <c r="H30" s="24"/>
    </row>
    <row r="31" spans="1:8">
      <c r="A31" s="24"/>
      <c r="B31" s="62"/>
      <c r="C31" s="24"/>
      <c r="D31" s="24"/>
      <c r="E31" s="24"/>
      <c r="F31" s="24"/>
      <c r="G31" s="24"/>
      <c r="H31" s="24"/>
    </row>
    <row r="32" spans="1:8">
      <c r="A32" s="24"/>
      <c r="B32" s="24"/>
      <c r="C32" s="24"/>
      <c r="D32" s="24"/>
      <c r="E32" s="24"/>
      <c r="F32" s="24"/>
      <c r="G32" s="24"/>
      <c r="H32" s="24"/>
    </row>
    <row r="33" spans="1:8">
      <c r="A33" s="24"/>
      <c r="B33" s="24"/>
      <c r="C33" s="24"/>
      <c r="D33" s="24"/>
      <c r="E33" s="24"/>
      <c r="F33" s="24"/>
      <c r="G33" s="24"/>
      <c r="H33" s="24"/>
    </row>
    <row r="34" spans="1:8">
      <c r="A34" s="24"/>
      <c r="B34" s="24"/>
      <c r="C34" s="24"/>
      <c r="D34" s="24"/>
      <c r="E34" s="24"/>
      <c r="F34" s="24"/>
      <c r="G34" s="24"/>
      <c r="H34" s="24"/>
    </row>
    <row r="35" spans="1:8">
      <c r="A35" s="24"/>
      <c r="B35" s="24"/>
      <c r="C35" s="24"/>
      <c r="D35" s="24"/>
      <c r="E35" s="24"/>
      <c r="F35" s="24"/>
      <c r="G35" s="24"/>
      <c r="H35" s="24"/>
    </row>
    <row r="36" spans="1:8">
      <c r="A36" s="24"/>
      <c r="B36" s="37"/>
      <c r="C36" s="24"/>
      <c r="D36" s="24"/>
      <c r="E36" s="24"/>
      <c r="F36" s="24"/>
      <c r="G36" s="24"/>
      <c r="H36" s="24"/>
    </row>
    <row r="37" spans="1:8">
      <c r="A37" s="24"/>
      <c r="B37" s="37"/>
      <c r="C37" s="24"/>
      <c r="D37" s="24"/>
      <c r="E37" s="24"/>
      <c r="F37" s="24"/>
      <c r="G37" s="24"/>
      <c r="H37" s="24"/>
    </row>
    <row r="38" spans="1:8">
      <c r="A38" s="24"/>
      <c r="B38" s="37"/>
      <c r="C38" s="24"/>
      <c r="D38" s="24"/>
      <c r="E38" s="24"/>
      <c r="F38" s="24"/>
      <c r="G38" s="24"/>
      <c r="H38" s="24"/>
    </row>
    <row r="39" spans="1:8">
      <c r="A39" s="24"/>
      <c r="B39" s="37"/>
      <c r="C39" s="24"/>
      <c r="D39" s="24"/>
      <c r="E39" s="24"/>
      <c r="F39" s="24"/>
      <c r="G39" s="24"/>
      <c r="H39" s="24"/>
    </row>
    <row r="40" spans="1:8">
      <c r="A40" s="24"/>
      <c r="B40" s="37"/>
      <c r="C40" s="61"/>
      <c r="D40" s="24"/>
      <c r="E40" s="24"/>
      <c r="F40" s="24"/>
      <c r="G40" s="24"/>
      <c r="H40" s="24"/>
    </row>
    <row r="41" spans="1:8">
      <c r="A41" s="24"/>
      <c r="B41" s="37"/>
      <c r="C41" s="24"/>
      <c r="D41" s="24"/>
      <c r="E41" s="24"/>
      <c r="F41" s="24"/>
      <c r="G41" s="24"/>
      <c r="H41" s="24"/>
    </row>
    <row r="42" spans="1:8">
      <c r="A42" s="24"/>
      <c r="B42" s="37"/>
      <c r="C42" s="24"/>
      <c r="D42" s="24"/>
      <c r="E42" s="24"/>
      <c r="F42" s="24"/>
      <c r="G42" s="24"/>
      <c r="H42" s="24"/>
    </row>
    <row r="43" spans="1:8">
      <c r="A43" s="24"/>
      <c r="B43" s="37"/>
      <c r="C43" s="24"/>
      <c r="D43" s="24"/>
      <c r="E43" s="24"/>
      <c r="F43" s="24"/>
      <c r="G43" s="24"/>
      <c r="H43" s="24"/>
    </row>
    <row r="44" spans="1:8">
      <c r="A44" s="24"/>
      <c r="B44" s="37"/>
      <c r="C44" s="24"/>
      <c r="D44" s="24"/>
      <c r="E44" s="24"/>
      <c r="F44" s="24"/>
      <c r="G44" s="24"/>
      <c r="H44" s="24"/>
    </row>
    <row r="45" spans="1:8">
      <c r="A45" s="24"/>
      <c r="B45" s="37"/>
      <c r="C45" s="24"/>
      <c r="D45" s="24"/>
      <c r="E45" s="24"/>
      <c r="F45" s="24"/>
      <c r="G45" s="24"/>
      <c r="H45" s="24"/>
    </row>
  </sheetData>
  <pageMargins left="0.7" right="0.7" top="0.78740157499999996" bottom="0.78740157499999996" header="0.3" footer="0.3"/>
  <pageSetup paperSize="9"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9"/>
  <sheetViews>
    <sheetView workbookViewId="0">
      <selection activeCell="J26" sqref="J26"/>
    </sheetView>
  </sheetViews>
  <sheetFormatPr baseColWidth="10" defaultRowHeight="12.75"/>
  <cols>
    <col min="1" max="2" width="11.42578125" style="831"/>
    <col min="3" max="3" width="15.7109375" style="831" customWidth="1"/>
    <col min="4" max="4" width="7.42578125" style="831" customWidth="1"/>
    <col min="5" max="5" width="5.85546875" style="831" customWidth="1"/>
    <col min="6" max="6" width="4.85546875" style="831" customWidth="1"/>
    <col min="7" max="10" width="11.42578125" style="831"/>
    <col min="11" max="11" width="13.85546875" style="831" customWidth="1"/>
    <col min="12" max="258" width="11.42578125" style="831"/>
    <col min="259" max="259" width="15.7109375" style="831" customWidth="1"/>
    <col min="260" max="260" width="7.42578125" style="831" customWidth="1"/>
    <col min="261" max="261" width="5.85546875" style="831" customWidth="1"/>
    <col min="262" max="262" width="4.85546875" style="831" customWidth="1"/>
    <col min="263" max="266" width="11.42578125" style="831"/>
    <col min="267" max="267" width="13.85546875" style="831" customWidth="1"/>
    <col min="268" max="514" width="11.42578125" style="831"/>
    <col min="515" max="515" width="15.7109375" style="831" customWidth="1"/>
    <col min="516" max="516" width="7.42578125" style="831" customWidth="1"/>
    <col min="517" max="517" width="5.85546875" style="831" customWidth="1"/>
    <col min="518" max="518" width="4.85546875" style="831" customWidth="1"/>
    <col min="519" max="522" width="11.42578125" style="831"/>
    <col min="523" max="523" width="13.85546875" style="831" customWidth="1"/>
    <col min="524" max="770" width="11.42578125" style="831"/>
    <col min="771" max="771" width="15.7109375" style="831" customWidth="1"/>
    <col min="772" max="772" width="7.42578125" style="831" customWidth="1"/>
    <col min="773" max="773" width="5.85546875" style="831" customWidth="1"/>
    <col min="774" max="774" width="4.85546875" style="831" customWidth="1"/>
    <col min="775" max="778" width="11.42578125" style="831"/>
    <col min="779" max="779" width="13.85546875" style="831" customWidth="1"/>
    <col min="780" max="1026" width="11.42578125" style="831"/>
    <col min="1027" max="1027" width="15.7109375" style="831" customWidth="1"/>
    <col min="1028" max="1028" width="7.42578125" style="831" customWidth="1"/>
    <col min="1029" max="1029" width="5.85546875" style="831" customWidth="1"/>
    <col min="1030" max="1030" width="4.85546875" style="831" customWidth="1"/>
    <col min="1031" max="1034" width="11.42578125" style="831"/>
    <col min="1035" max="1035" width="13.85546875" style="831" customWidth="1"/>
    <col min="1036" max="1282" width="11.42578125" style="831"/>
    <col min="1283" max="1283" width="15.7109375" style="831" customWidth="1"/>
    <col min="1284" max="1284" width="7.42578125" style="831" customWidth="1"/>
    <col min="1285" max="1285" width="5.85546875" style="831" customWidth="1"/>
    <col min="1286" max="1286" width="4.85546875" style="831" customWidth="1"/>
    <col min="1287" max="1290" width="11.42578125" style="831"/>
    <col min="1291" max="1291" width="13.85546875" style="831" customWidth="1"/>
    <col min="1292" max="1538" width="11.42578125" style="831"/>
    <col min="1539" max="1539" width="15.7109375" style="831" customWidth="1"/>
    <col min="1540" max="1540" width="7.42578125" style="831" customWidth="1"/>
    <col min="1541" max="1541" width="5.85546875" style="831" customWidth="1"/>
    <col min="1542" max="1542" width="4.85546875" style="831" customWidth="1"/>
    <col min="1543" max="1546" width="11.42578125" style="831"/>
    <col min="1547" max="1547" width="13.85546875" style="831" customWidth="1"/>
    <col min="1548" max="1794" width="11.42578125" style="831"/>
    <col min="1795" max="1795" width="15.7109375" style="831" customWidth="1"/>
    <col min="1796" max="1796" width="7.42578125" style="831" customWidth="1"/>
    <col min="1797" max="1797" width="5.85546875" style="831" customWidth="1"/>
    <col min="1798" max="1798" width="4.85546875" style="831" customWidth="1"/>
    <col min="1799" max="1802" width="11.42578125" style="831"/>
    <col min="1803" max="1803" width="13.85546875" style="831" customWidth="1"/>
    <col min="1804" max="2050" width="11.42578125" style="831"/>
    <col min="2051" max="2051" width="15.7109375" style="831" customWidth="1"/>
    <col min="2052" max="2052" width="7.42578125" style="831" customWidth="1"/>
    <col min="2053" max="2053" width="5.85546875" style="831" customWidth="1"/>
    <col min="2054" max="2054" width="4.85546875" style="831" customWidth="1"/>
    <col min="2055" max="2058" width="11.42578125" style="831"/>
    <col min="2059" max="2059" width="13.85546875" style="831" customWidth="1"/>
    <col min="2060" max="2306" width="11.42578125" style="831"/>
    <col min="2307" max="2307" width="15.7109375" style="831" customWidth="1"/>
    <col min="2308" max="2308" width="7.42578125" style="831" customWidth="1"/>
    <col min="2309" max="2309" width="5.85546875" style="831" customWidth="1"/>
    <col min="2310" max="2310" width="4.85546875" style="831" customWidth="1"/>
    <col min="2311" max="2314" width="11.42578125" style="831"/>
    <col min="2315" max="2315" width="13.85546875" style="831" customWidth="1"/>
    <col min="2316" max="2562" width="11.42578125" style="831"/>
    <col min="2563" max="2563" width="15.7109375" style="831" customWidth="1"/>
    <col min="2564" max="2564" width="7.42578125" style="831" customWidth="1"/>
    <col min="2565" max="2565" width="5.85546875" style="831" customWidth="1"/>
    <col min="2566" max="2566" width="4.85546875" style="831" customWidth="1"/>
    <col min="2567" max="2570" width="11.42578125" style="831"/>
    <col min="2571" max="2571" width="13.85546875" style="831" customWidth="1"/>
    <col min="2572" max="2818" width="11.42578125" style="831"/>
    <col min="2819" max="2819" width="15.7109375" style="831" customWidth="1"/>
    <col min="2820" max="2820" width="7.42578125" style="831" customWidth="1"/>
    <col min="2821" max="2821" width="5.85546875" style="831" customWidth="1"/>
    <col min="2822" max="2822" width="4.85546875" style="831" customWidth="1"/>
    <col min="2823" max="2826" width="11.42578125" style="831"/>
    <col min="2827" max="2827" width="13.85546875" style="831" customWidth="1"/>
    <col min="2828" max="3074" width="11.42578125" style="831"/>
    <col min="3075" max="3075" width="15.7109375" style="831" customWidth="1"/>
    <col min="3076" max="3076" width="7.42578125" style="831" customWidth="1"/>
    <col min="3077" max="3077" width="5.85546875" style="831" customWidth="1"/>
    <col min="3078" max="3078" width="4.85546875" style="831" customWidth="1"/>
    <col min="3079" max="3082" width="11.42578125" style="831"/>
    <col min="3083" max="3083" width="13.85546875" style="831" customWidth="1"/>
    <col min="3084" max="3330" width="11.42578125" style="831"/>
    <col min="3331" max="3331" width="15.7109375" style="831" customWidth="1"/>
    <col min="3332" max="3332" width="7.42578125" style="831" customWidth="1"/>
    <col min="3333" max="3333" width="5.85546875" style="831" customWidth="1"/>
    <col min="3334" max="3334" width="4.85546875" style="831" customWidth="1"/>
    <col min="3335" max="3338" width="11.42578125" style="831"/>
    <col min="3339" max="3339" width="13.85546875" style="831" customWidth="1"/>
    <col min="3340" max="3586" width="11.42578125" style="831"/>
    <col min="3587" max="3587" width="15.7109375" style="831" customWidth="1"/>
    <col min="3588" max="3588" width="7.42578125" style="831" customWidth="1"/>
    <col min="3589" max="3589" width="5.85546875" style="831" customWidth="1"/>
    <col min="3590" max="3590" width="4.85546875" style="831" customWidth="1"/>
    <col min="3591" max="3594" width="11.42578125" style="831"/>
    <col min="3595" max="3595" width="13.85546875" style="831" customWidth="1"/>
    <col min="3596" max="3842" width="11.42578125" style="831"/>
    <col min="3843" max="3843" width="15.7109375" style="831" customWidth="1"/>
    <col min="3844" max="3844" width="7.42578125" style="831" customWidth="1"/>
    <col min="3845" max="3845" width="5.85546875" style="831" customWidth="1"/>
    <col min="3846" max="3846" width="4.85546875" style="831" customWidth="1"/>
    <col min="3847" max="3850" width="11.42578125" style="831"/>
    <col min="3851" max="3851" width="13.85546875" style="831" customWidth="1"/>
    <col min="3852" max="4098" width="11.42578125" style="831"/>
    <col min="4099" max="4099" width="15.7109375" style="831" customWidth="1"/>
    <col min="4100" max="4100" width="7.42578125" style="831" customWidth="1"/>
    <col min="4101" max="4101" width="5.85546875" style="831" customWidth="1"/>
    <col min="4102" max="4102" width="4.85546875" style="831" customWidth="1"/>
    <col min="4103" max="4106" width="11.42578125" style="831"/>
    <col min="4107" max="4107" width="13.85546875" style="831" customWidth="1"/>
    <col min="4108" max="4354" width="11.42578125" style="831"/>
    <col min="4355" max="4355" width="15.7109375" style="831" customWidth="1"/>
    <col min="4356" max="4356" width="7.42578125" style="831" customWidth="1"/>
    <col min="4357" max="4357" width="5.85546875" style="831" customWidth="1"/>
    <col min="4358" max="4358" width="4.85546875" style="831" customWidth="1"/>
    <col min="4359" max="4362" width="11.42578125" style="831"/>
    <col min="4363" max="4363" width="13.85546875" style="831" customWidth="1"/>
    <col min="4364" max="4610" width="11.42578125" style="831"/>
    <col min="4611" max="4611" width="15.7109375" style="831" customWidth="1"/>
    <col min="4612" max="4612" width="7.42578125" style="831" customWidth="1"/>
    <col min="4613" max="4613" width="5.85546875" style="831" customWidth="1"/>
    <col min="4614" max="4614" width="4.85546875" style="831" customWidth="1"/>
    <col min="4615" max="4618" width="11.42578125" style="831"/>
    <col min="4619" max="4619" width="13.85546875" style="831" customWidth="1"/>
    <col min="4620" max="4866" width="11.42578125" style="831"/>
    <col min="4867" max="4867" width="15.7109375" style="831" customWidth="1"/>
    <col min="4868" max="4868" width="7.42578125" style="831" customWidth="1"/>
    <col min="4869" max="4869" width="5.85546875" style="831" customWidth="1"/>
    <col min="4870" max="4870" width="4.85546875" style="831" customWidth="1"/>
    <col min="4871" max="4874" width="11.42578125" style="831"/>
    <col min="4875" max="4875" width="13.85546875" style="831" customWidth="1"/>
    <col min="4876" max="5122" width="11.42578125" style="831"/>
    <col min="5123" max="5123" width="15.7109375" style="831" customWidth="1"/>
    <col min="5124" max="5124" width="7.42578125" style="831" customWidth="1"/>
    <col min="5125" max="5125" width="5.85546875" style="831" customWidth="1"/>
    <col min="5126" max="5126" width="4.85546875" style="831" customWidth="1"/>
    <col min="5127" max="5130" width="11.42578125" style="831"/>
    <col min="5131" max="5131" width="13.85546875" style="831" customWidth="1"/>
    <col min="5132" max="5378" width="11.42578125" style="831"/>
    <col min="5379" max="5379" width="15.7109375" style="831" customWidth="1"/>
    <col min="5380" max="5380" width="7.42578125" style="831" customWidth="1"/>
    <col min="5381" max="5381" width="5.85546875" style="831" customWidth="1"/>
    <col min="5382" max="5382" width="4.85546875" style="831" customWidth="1"/>
    <col min="5383" max="5386" width="11.42578125" style="831"/>
    <col min="5387" max="5387" width="13.85546875" style="831" customWidth="1"/>
    <col min="5388" max="5634" width="11.42578125" style="831"/>
    <col min="5635" max="5635" width="15.7109375" style="831" customWidth="1"/>
    <col min="5636" max="5636" width="7.42578125" style="831" customWidth="1"/>
    <col min="5637" max="5637" width="5.85546875" style="831" customWidth="1"/>
    <col min="5638" max="5638" width="4.85546875" style="831" customWidth="1"/>
    <col min="5639" max="5642" width="11.42578125" style="831"/>
    <col min="5643" max="5643" width="13.85546875" style="831" customWidth="1"/>
    <col min="5644" max="5890" width="11.42578125" style="831"/>
    <col min="5891" max="5891" width="15.7109375" style="831" customWidth="1"/>
    <col min="5892" max="5892" width="7.42578125" style="831" customWidth="1"/>
    <col min="5893" max="5893" width="5.85546875" style="831" customWidth="1"/>
    <col min="5894" max="5894" width="4.85546875" style="831" customWidth="1"/>
    <col min="5895" max="5898" width="11.42578125" style="831"/>
    <col min="5899" max="5899" width="13.85546875" style="831" customWidth="1"/>
    <col min="5900" max="6146" width="11.42578125" style="831"/>
    <col min="6147" max="6147" width="15.7109375" style="831" customWidth="1"/>
    <col min="6148" max="6148" width="7.42578125" style="831" customWidth="1"/>
    <col min="6149" max="6149" width="5.85546875" style="831" customWidth="1"/>
    <col min="6150" max="6150" width="4.85546875" style="831" customWidth="1"/>
    <col min="6151" max="6154" width="11.42578125" style="831"/>
    <col min="6155" max="6155" width="13.85546875" style="831" customWidth="1"/>
    <col min="6156" max="6402" width="11.42578125" style="831"/>
    <col min="6403" max="6403" width="15.7109375" style="831" customWidth="1"/>
    <col min="6404" max="6404" width="7.42578125" style="831" customWidth="1"/>
    <col min="6405" max="6405" width="5.85546875" style="831" customWidth="1"/>
    <col min="6406" max="6406" width="4.85546875" style="831" customWidth="1"/>
    <col min="6407" max="6410" width="11.42578125" style="831"/>
    <col min="6411" max="6411" width="13.85546875" style="831" customWidth="1"/>
    <col min="6412" max="6658" width="11.42578125" style="831"/>
    <col min="6659" max="6659" width="15.7109375" style="831" customWidth="1"/>
    <col min="6660" max="6660" width="7.42578125" style="831" customWidth="1"/>
    <col min="6661" max="6661" width="5.85546875" style="831" customWidth="1"/>
    <col min="6662" max="6662" width="4.85546875" style="831" customWidth="1"/>
    <col min="6663" max="6666" width="11.42578125" style="831"/>
    <col min="6667" max="6667" width="13.85546875" style="831" customWidth="1"/>
    <col min="6668" max="6914" width="11.42578125" style="831"/>
    <col min="6915" max="6915" width="15.7109375" style="831" customWidth="1"/>
    <col min="6916" max="6916" width="7.42578125" style="831" customWidth="1"/>
    <col min="6917" max="6917" width="5.85546875" style="831" customWidth="1"/>
    <col min="6918" max="6918" width="4.85546875" style="831" customWidth="1"/>
    <col min="6919" max="6922" width="11.42578125" style="831"/>
    <col min="6923" max="6923" width="13.85546875" style="831" customWidth="1"/>
    <col min="6924" max="7170" width="11.42578125" style="831"/>
    <col min="7171" max="7171" width="15.7109375" style="831" customWidth="1"/>
    <col min="7172" max="7172" width="7.42578125" style="831" customWidth="1"/>
    <col min="7173" max="7173" width="5.85546875" style="831" customWidth="1"/>
    <col min="7174" max="7174" width="4.85546875" style="831" customWidth="1"/>
    <col min="7175" max="7178" width="11.42578125" style="831"/>
    <col min="7179" max="7179" width="13.85546875" style="831" customWidth="1"/>
    <col min="7180" max="7426" width="11.42578125" style="831"/>
    <col min="7427" max="7427" width="15.7109375" style="831" customWidth="1"/>
    <col min="7428" max="7428" width="7.42578125" style="831" customWidth="1"/>
    <col min="7429" max="7429" width="5.85546875" style="831" customWidth="1"/>
    <col min="7430" max="7430" width="4.85546875" style="831" customWidth="1"/>
    <col min="7431" max="7434" width="11.42578125" style="831"/>
    <col min="7435" max="7435" width="13.85546875" style="831" customWidth="1"/>
    <col min="7436" max="7682" width="11.42578125" style="831"/>
    <col min="7683" max="7683" width="15.7109375" style="831" customWidth="1"/>
    <col min="7684" max="7684" width="7.42578125" style="831" customWidth="1"/>
    <col min="7685" max="7685" width="5.85546875" style="831" customWidth="1"/>
    <col min="7686" max="7686" width="4.85546875" style="831" customWidth="1"/>
    <col min="7687" max="7690" width="11.42578125" style="831"/>
    <col min="7691" max="7691" width="13.85546875" style="831" customWidth="1"/>
    <col min="7692" max="7938" width="11.42578125" style="831"/>
    <col min="7939" max="7939" width="15.7109375" style="831" customWidth="1"/>
    <col min="7940" max="7940" width="7.42578125" style="831" customWidth="1"/>
    <col min="7941" max="7941" width="5.85546875" style="831" customWidth="1"/>
    <col min="7942" max="7942" width="4.85546875" style="831" customWidth="1"/>
    <col min="7943" max="7946" width="11.42578125" style="831"/>
    <col min="7947" max="7947" width="13.85546875" style="831" customWidth="1"/>
    <col min="7948" max="8194" width="11.42578125" style="831"/>
    <col min="8195" max="8195" width="15.7109375" style="831" customWidth="1"/>
    <col min="8196" max="8196" width="7.42578125" style="831" customWidth="1"/>
    <col min="8197" max="8197" width="5.85546875" style="831" customWidth="1"/>
    <col min="8198" max="8198" width="4.85546875" style="831" customWidth="1"/>
    <col min="8199" max="8202" width="11.42578125" style="831"/>
    <col min="8203" max="8203" width="13.85546875" style="831" customWidth="1"/>
    <col min="8204" max="8450" width="11.42578125" style="831"/>
    <col min="8451" max="8451" width="15.7109375" style="831" customWidth="1"/>
    <col min="8452" max="8452" width="7.42578125" style="831" customWidth="1"/>
    <col min="8453" max="8453" width="5.85546875" style="831" customWidth="1"/>
    <col min="8454" max="8454" width="4.85546875" style="831" customWidth="1"/>
    <col min="8455" max="8458" width="11.42578125" style="831"/>
    <col min="8459" max="8459" width="13.85546875" style="831" customWidth="1"/>
    <col min="8460" max="8706" width="11.42578125" style="831"/>
    <col min="8707" max="8707" width="15.7109375" style="831" customWidth="1"/>
    <col min="8708" max="8708" width="7.42578125" style="831" customWidth="1"/>
    <col min="8709" max="8709" width="5.85546875" style="831" customWidth="1"/>
    <col min="8710" max="8710" width="4.85546875" style="831" customWidth="1"/>
    <col min="8711" max="8714" width="11.42578125" style="831"/>
    <col min="8715" max="8715" width="13.85546875" style="831" customWidth="1"/>
    <col min="8716" max="8962" width="11.42578125" style="831"/>
    <col min="8963" max="8963" width="15.7109375" style="831" customWidth="1"/>
    <col min="8964" max="8964" width="7.42578125" style="831" customWidth="1"/>
    <col min="8965" max="8965" width="5.85546875" style="831" customWidth="1"/>
    <col min="8966" max="8966" width="4.85546875" style="831" customWidth="1"/>
    <col min="8967" max="8970" width="11.42578125" style="831"/>
    <col min="8971" max="8971" width="13.85546875" style="831" customWidth="1"/>
    <col min="8972" max="9218" width="11.42578125" style="831"/>
    <col min="9219" max="9219" width="15.7109375" style="831" customWidth="1"/>
    <col min="9220" max="9220" width="7.42578125" style="831" customWidth="1"/>
    <col min="9221" max="9221" width="5.85546875" style="831" customWidth="1"/>
    <col min="9222" max="9222" width="4.85546875" style="831" customWidth="1"/>
    <col min="9223" max="9226" width="11.42578125" style="831"/>
    <col min="9227" max="9227" width="13.85546875" style="831" customWidth="1"/>
    <col min="9228" max="9474" width="11.42578125" style="831"/>
    <col min="9475" max="9475" width="15.7109375" style="831" customWidth="1"/>
    <col min="9476" max="9476" width="7.42578125" style="831" customWidth="1"/>
    <col min="9477" max="9477" width="5.85546875" style="831" customWidth="1"/>
    <col min="9478" max="9478" width="4.85546875" style="831" customWidth="1"/>
    <col min="9479" max="9482" width="11.42578125" style="831"/>
    <col min="9483" max="9483" width="13.85546875" style="831" customWidth="1"/>
    <col min="9484" max="9730" width="11.42578125" style="831"/>
    <col min="9731" max="9731" width="15.7109375" style="831" customWidth="1"/>
    <col min="9732" max="9732" width="7.42578125" style="831" customWidth="1"/>
    <col min="9733" max="9733" width="5.85546875" style="831" customWidth="1"/>
    <col min="9734" max="9734" width="4.85546875" style="831" customWidth="1"/>
    <col min="9735" max="9738" width="11.42578125" style="831"/>
    <col min="9739" max="9739" width="13.85546875" style="831" customWidth="1"/>
    <col min="9740" max="9986" width="11.42578125" style="831"/>
    <col min="9987" max="9987" width="15.7109375" style="831" customWidth="1"/>
    <col min="9988" max="9988" width="7.42578125" style="831" customWidth="1"/>
    <col min="9989" max="9989" width="5.85546875" style="831" customWidth="1"/>
    <col min="9990" max="9990" width="4.85546875" style="831" customWidth="1"/>
    <col min="9991" max="9994" width="11.42578125" style="831"/>
    <col min="9995" max="9995" width="13.85546875" style="831" customWidth="1"/>
    <col min="9996" max="10242" width="11.42578125" style="831"/>
    <col min="10243" max="10243" width="15.7109375" style="831" customWidth="1"/>
    <col min="10244" max="10244" width="7.42578125" style="831" customWidth="1"/>
    <col min="10245" max="10245" width="5.85546875" style="831" customWidth="1"/>
    <col min="10246" max="10246" width="4.85546875" style="831" customWidth="1"/>
    <col min="10247" max="10250" width="11.42578125" style="831"/>
    <col min="10251" max="10251" width="13.85546875" style="831" customWidth="1"/>
    <col min="10252" max="10498" width="11.42578125" style="831"/>
    <col min="10499" max="10499" width="15.7109375" style="831" customWidth="1"/>
    <col min="10500" max="10500" width="7.42578125" style="831" customWidth="1"/>
    <col min="10501" max="10501" width="5.85546875" style="831" customWidth="1"/>
    <col min="10502" max="10502" width="4.85546875" style="831" customWidth="1"/>
    <col min="10503" max="10506" width="11.42578125" style="831"/>
    <col min="10507" max="10507" width="13.85546875" style="831" customWidth="1"/>
    <col min="10508" max="10754" width="11.42578125" style="831"/>
    <col min="10755" max="10755" width="15.7109375" style="831" customWidth="1"/>
    <col min="10756" max="10756" width="7.42578125" style="831" customWidth="1"/>
    <col min="10757" max="10757" width="5.85546875" style="831" customWidth="1"/>
    <col min="10758" max="10758" width="4.85546875" style="831" customWidth="1"/>
    <col min="10759" max="10762" width="11.42578125" style="831"/>
    <col min="10763" max="10763" width="13.85546875" style="831" customWidth="1"/>
    <col min="10764" max="11010" width="11.42578125" style="831"/>
    <col min="11011" max="11011" width="15.7109375" style="831" customWidth="1"/>
    <col min="11012" max="11012" width="7.42578125" style="831" customWidth="1"/>
    <col min="11013" max="11013" width="5.85546875" style="831" customWidth="1"/>
    <col min="11014" max="11014" width="4.85546875" style="831" customWidth="1"/>
    <col min="11015" max="11018" width="11.42578125" style="831"/>
    <col min="11019" max="11019" width="13.85546875" style="831" customWidth="1"/>
    <col min="11020" max="11266" width="11.42578125" style="831"/>
    <col min="11267" max="11267" width="15.7109375" style="831" customWidth="1"/>
    <col min="11268" max="11268" width="7.42578125" style="831" customWidth="1"/>
    <col min="11269" max="11269" width="5.85546875" style="831" customWidth="1"/>
    <col min="11270" max="11270" width="4.85546875" style="831" customWidth="1"/>
    <col min="11271" max="11274" width="11.42578125" style="831"/>
    <col min="11275" max="11275" width="13.85546875" style="831" customWidth="1"/>
    <col min="11276" max="11522" width="11.42578125" style="831"/>
    <col min="11523" max="11523" width="15.7109375" style="831" customWidth="1"/>
    <col min="11524" max="11524" width="7.42578125" style="831" customWidth="1"/>
    <col min="11525" max="11525" width="5.85546875" style="831" customWidth="1"/>
    <col min="11526" max="11526" width="4.85546875" style="831" customWidth="1"/>
    <col min="11527" max="11530" width="11.42578125" style="831"/>
    <col min="11531" max="11531" width="13.85546875" style="831" customWidth="1"/>
    <col min="11532" max="11778" width="11.42578125" style="831"/>
    <col min="11779" max="11779" width="15.7109375" style="831" customWidth="1"/>
    <col min="11780" max="11780" width="7.42578125" style="831" customWidth="1"/>
    <col min="11781" max="11781" width="5.85546875" style="831" customWidth="1"/>
    <col min="11782" max="11782" width="4.85546875" style="831" customWidth="1"/>
    <col min="11783" max="11786" width="11.42578125" style="831"/>
    <col min="11787" max="11787" width="13.85546875" style="831" customWidth="1"/>
    <col min="11788" max="12034" width="11.42578125" style="831"/>
    <col min="12035" max="12035" width="15.7109375" style="831" customWidth="1"/>
    <col min="12036" max="12036" width="7.42578125" style="831" customWidth="1"/>
    <col min="12037" max="12037" width="5.85546875" style="831" customWidth="1"/>
    <col min="12038" max="12038" width="4.85546875" style="831" customWidth="1"/>
    <col min="12039" max="12042" width="11.42578125" style="831"/>
    <col min="12043" max="12043" width="13.85546875" style="831" customWidth="1"/>
    <col min="12044" max="12290" width="11.42578125" style="831"/>
    <col min="12291" max="12291" width="15.7109375" style="831" customWidth="1"/>
    <col min="12292" max="12292" width="7.42578125" style="831" customWidth="1"/>
    <col min="12293" max="12293" width="5.85546875" style="831" customWidth="1"/>
    <col min="12294" max="12294" width="4.85546875" style="831" customWidth="1"/>
    <col min="12295" max="12298" width="11.42578125" style="831"/>
    <col min="12299" max="12299" width="13.85546875" style="831" customWidth="1"/>
    <col min="12300" max="12546" width="11.42578125" style="831"/>
    <col min="12547" max="12547" width="15.7109375" style="831" customWidth="1"/>
    <col min="12548" max="12548" width="7.42578125" style="831" customWidth="1"/>
    <col min="12549" max="12549" width="5.85546875" style="831" customWidth="1"/>
    <col min="12550" max="12550" width="4.85546875" style="831" customWidth="1"/>
    <col min="12551" max="12554" width="11.42578125" style="831"/>
    <col min="12555" max="12555" width="13.85546875" style="831" customWidth="1"/>
    <col min="12556" max="12802" width="11.42578125" style="831"/>
    <col min="12803" max="12803" width="15.7109375" style="831" customWidth="1"/>
    <col min="12804" max="12804" width="7.42578125" style="831" customWidth="1"/>
    <col min="12805" max="12805" width="5.85546875" style="831" customWidth="1"/>
    <col min="12806" max="12806" width="4.85546875" style="831" customWidth="1"/>
    <col min="12807" max="12810" width="11.42578125" style="831"/>
    <col min="12811" max="12811" width="13.85546875" style="831" customWidth="1"/>
    <col min="12812" max="13058" width="11.42578125" style="831"/>
    <col min="13059" max="13059" width="15.7109375" style="831" customWidth="1"/>
    <col min="13060" max="13060" width="7.42578125" style="831" customWidth="1"/>
    <col min="13061" max="13061" width="5.85546875" style="831" customWidth="1"/>
    <col min="13062" max="13062" width="4.85546875" style="831" customWidth="1"/>
    <col min="13063" max="13066" width="11.42578125" style="831"/>
    <col min="13067" max="13067" width="13.85546875" style="831" customWidth="1"/>
    <col min="13068" max="13314" width="11.42578125" style="831"/>
    <col min="13315" max="13315" width="15.7109375" style="831" customWidth="1"/>
    <col min="13316" max="13316" width="7.42578125" style="831" customWidth="1"/>
    <col min="13317" max="13317" width="5.85546875" style="831" customWidth="1"/>
    <col min="13318" max="13318" width="4.85546875" style="831" customWidth="1"/>
    <col min="13319" max="13322" width="11.42578125" style="831"/>
    <col min="13323" max="13323" width="13.85546875" style="831" customWidth="1"/>
    <col min="13324" max="13570" width="11.42578125" style="831"/>
    <col min="13571" max="13571" width="15.7109375" style="831" customWidth="1"/>
    <col min="13572" max="13572" width="7.42578125" style="831" customWidth="1"/>
    <col min="13573" max="13573" width="5.85546875" style="831" customWidth="1"/>
    <col min="13574" max="13574" width="4.85546875" style="831" customWidth="1"/>
    <col min="13575" max="13578" width="11.42578125" style="831"/>
    <col min="13579" max="13579" width="13.85546875" style="831" customWidth="1"/>
    <col min="13580" max="13826" width="11.42578125" style="831"/>
    <col min="13827" max="13827" width="15.7109375" style="831" customWidth="1"/>
    <col min="13828" max="13828" width="7.42578125" style="831" customWidth="1"/>
    <col min="13829" max="13829" width="5.85546875" style="831" customWidth="1"/>
    <col min="13830" max="13830" width="4.85546875" style="831" customWidth="1"/>
    <col min="13831" max="13834" width="11.42578125" style="831"/>
    <col min="13835" max="13835" width="13.85546875" style="831" customWidth="1"/>
    <col min="13836" max="14082" width="11.42578125" style="831"/>
    <col min="14083" max="14083" width="15.7109375" style="831" customWidth="1"/>
    <col min="14084" max="14084" width="7.42578125" style="831" customWidth="1"/>
    <col min="14085" max="14085" width="5.85546875" style="831" customWidth="1"/>
    <col min="14086" max="14086" width="4.85546875" style="831" customWidth="1"/>
    <col min="14087" max="14090" width="11.42578125" style="831"/>
    <col min="14091" max="14091" width="13.85546875" style="831" customWidth="1"/>
    <col min="14092" max="14338" width="11.42578125" style="831"/>
    <col min="14339" max="14339" width="15.7109375" style="831" customWidth="1"/>
    <col min="14340" max="14340" width="7.42578125" style="831" customWidth="1"/>
    <col min="14341" max="14341" width="5.85546875" style="831" customWidth="1"/>
    <col min="14342" max="14342" width="4.85546875" style="831" customWidth="1"/>
    <col min="14343" max="14346" width="11.42578125" style="831"/>
    <col min="14347" max="14347" width="13.85546875" style="831" customWidth="1"/>
    <col min="14348" max="14594" width="11.42578125" style="831"/>
    <col min="14595" max="14595" width="15.7109375" style="831" customWidth="1"/>
    <col min="14596" max="14596" width="7.42578125" style="831" customWidth="1"/>
    <col min="14597" max="14597" width="5.85546875" style="831" customWidth="1"/>
    <col min="14598" max="14598" width="4.85546875" style="831" customWidth="1"/>
    <col min="14599" max="14602" width="11.42578125" style="831"/>
    <col min="14603" max="14603" width="13.85546875" style="831" customWidth="1"/>
    <col min="14604" max="14850" width="11.42578125" style="831"/>
    <col min="14851" max="14851" width="15.7109375" style="831" customWidth="1"/>
    <col min="14852" max="14852" width="7.42578125" style="831" customWidth="1"/>
    <col min="14853" max="14853" width="5.85546875" style="831" customWidth="1"/>
    <col min="14854" max="14854" width="4.85546875" style="831" customWidth="1"/>
    <col min="14855" max="14858" width="11.42578125" style="831"/>
    <col min="14859" max="14859" width="13.85546875" style="831" customWidth="1"/>
    <col min="14860" max="15106" width="11.42578125" style="831"/>
    <col min="15107" max="15107" width="15.7109375" style="831" customWidth="1"/>
    <col min="15108" max="15108" width="7.42578125" style="831" customWidth="1"/>
    <col min="15109" max="15109" width="5.85546875" style="831" customWidth="1"/>
    <col min="15110" max="15110" width="4.85546875" style="831" customWidth="1"/>
    <col min="15111" max="15114" width="11.42578125" style="831"/>
    <col min="15115" max="15115" width="13.85546875" style="831" customWidth="1"/>
    <col min="15116" max="15362" width="11.42578125" style="831"/>
    <col min="15363" max="15363" width="15.7109375" style="831" customWidth="1"/>
    <col min="15364" max="15364" width="7.42578125" style="831" customWidth="1"/>
    <col min="15365" max="15365" width="5.85546875" style="831" customWidth="1"/>
    <col min="15366" max="15366" width="4.85546875" style="831" customWidth="1"/>
    <col min="15367" max="15370" width="11.42578125" style="831"/>
    <col min="15371" max="15371" width="13.85546875" style="831" customWidth="1"/>
    <col min="15372" max="15618" width="11.42578125" style="831"/>
    <col min="15619" max="15619" width="15.7109375" style="831" customWidth="1"/>
    <col min="15620" max="15620" width="7.42578125" style="831" customWidth="1"/>
    <col min="15621" max="15621" width="5.85546875" style="831" customWidth="1"/>
    <col min="15622" max="15622" width="4.85546875" style="831" customWidth="1"/>
    <col min="15623" max="15626" width="11.42578125" style="831"/>
    <col min="15627" max="15627" width="13.85546875" style="831" customWidth="1"/>
    <col min="15628" max="15874" width="11.42578125" style="831"/>
    <col min="15875" max="15875" width="15.7109375" style="831" customWidth="1"/>
    <col min="15876" max="15876" width="7.42578125" style="831" customWidth="1"/>
    <col min="15877" max="15877" width="5.85546875" style="831" customWidth="1"/>
    <col min="15878" max="15878" width="4.85546875" style="831" customWidth="1"/>
    <col min="15879" max="15882" width="11.42578125" style="831"/>
    <col min="15883" max="15883" width="13.85546875" style="831" customWidth="1"/>
    <col min="15884" max="16130" width="11.42578125" style="831"/>
    <col min="16131" max="16131" width="15.7109375" style="831" customWidth="1"/>
    <col min="16132" max="16132" width="7.42578125" style="831" customWidth="1"/>
    <col min="16133" max="16133" width="5.85546875" style="831" customWidth="1"/>
    <col min="16134" max="16134" width="4.85546875" style="831" customWidth="1"/>
    <col min="16135" max="16138" width="11.42578125" style="831"/>
    <col min="16139" max="16139" width="13.85546875" style="831" customWidth="1"/>
    <col min="16140" max="16384" width="11.42578125" style="831"/>
  </cols>
  <sheetData>
    <row r="1" spans="1:11" ht="13.5" thickBot="1"/>
    <row r="2" spans="1:11">
      <c r="B2" s="1381" t="s">
        <v>4130</v>
      </c>
      <c r="C2" s="1382"/>
      <c r="D2" s="1382"/>
      <c r="E2" s="1382"/>
      <c r="F2" s="1382"/>
      <c r="G2" s="1382"/>
      <c r="H2" s="1382"/>
      <c r="I2" s="1382"/>
      <c r="J2" s="1382"/>
      <c r="K2" s="1383"/>
    </row>
    <row r="3" spans="1:11">
      <c r="B3" s="1384" t="s">
        <v>4131</v>
      </c>
      <c r="C3" s="829"/>
      <c r="D3" s="829"/>
      <c r="E3" s="829"/>
      <c r="F3" s="829"/>
      <c r="G3" s="829"/>
      <c r="H3" s="829"/>
      <c r="I3" s="829"/>
      <c r="J3" s="829"/>
      <c r="K3" s="1385"/>
    </row>
    <row r="4" spans="1:11">
      <c r="B4" s="1384" t="s">
        <v>4132</v>
      </c>
      <c r="C4" s="829"/>
      <c r="D4" s="829"/>
      <c r="E4" s="829"/>
      <c r="F4" s="829"/>
      <c r="G4" s="829"/>
      <c r="H4" s="829"/>
      <c r="I4" s="829"/>
      <c r="J4" s="829"/>
      <c r="K4" s="1385"/>
    </row>
    <row r="5" spans="1:11" ht="13.5" thickBot="1">
      <c r="A5" s="1096"/>
      <c r="B5" s="1386" t="s">
        <v>4133</v>
      </c>
      <c r="C5" s="1387"/>
      <c r="D5" s="1387"/>
      <c r="E5" s="1387"/>
      <c r="F5" s="1387"/>
      <c r="G5" s="1387"/>
      <c r="H5" s="1387"/>
      <c r="I5" s="1387"/>
      <c r="J5" s="1387"/>
      <c r="K5" s="1388"/>
    </row>
    <row r="7" spans="1:11">
      <c r="B7" s="818"/>
      <c r="C7" s="831" t="s">
        <v>3977</v>
      </c>
    </row>
    <row r="8" spans="1:11" ht="13.5" thickBot="1"/>
    <row r="9" spans="1:11">
      <c r="B9" s="1389" t="s">
        <v>3045</v>
      </c>
      <c r="C9" s="1390"/>
      <c r="D9" s="1468">
        <v>120</v>
      </c>
      <c r="E9" s="1390" t="s">
        <v>212</v>
      </c>
      <c r="F9" s="1391"/>
    </row>
    <row r="10" spans="1:11">
      <c r="B10" s="1392" t="s">
        <v>1959</v>
      </c>
      <c r="C10" s="1096"/>
      <c r="D10" s="1469">
        <v>400</v>
      </c>
      <c r="E10" s="1096" t="s">
        <v>212</v>
      </c>
      <c r="F10" s="1394"/>
    </row>
    <row r="11" spans="1:11">
      <c r="B11" s="1392" t="s">
        <v>1773</v>
      </c>
      <c r="C11" s="1096"/>
      <c r="D11" s="1469">
        <v>8</v>
      </c>
      <c r="E11" s="1096" t="s">
        <v>212</v>
      </c>
      <c r="F11" s="1394"/>
    </row>
    <row r="12" spans="1:11" ht="13.5" thickBot="1">
      <c r="B12" s="1470" t="s">
        <v>318</v>
      </c>
      <c r="C12" s="1396"/>
      <c r="D12" s="1471">
        <v>2.4</v>
      </c>
      <c r="E12" s="1461" t="s">
        <v>212</v>
      </c>
      <c r="F12" s="1398"/>
      <c r="G12" s="1096"/>
    </row>
    <row r="13" spans="1:11" ht="13.5" thickBot="1"/>
    <row r="14" spans="1:11">
      <c r="B14" s="1389" t="s">
        <v>2663</v>
      </c>
      <c r="C14" s="1390"/>
      <c r="D14" s="1472">
        <v>50</v>
      </c>
      <c r="E14" s="1390"/>
      <c r="F14" s="1391"/>
      <c r="G14" s="831" t="s">
        <v>4134</v>
      </c>
    </row>
    <row r="15" spans="1:11">
      <c r="B15" s="1392"/>
      <c r="C15" s="1096"/>
      <c r="D15" s="1473"/>
      <c r="E15" s="1096"/>
      <c r="F15" s="1394"/>
    </row>
    <row r="16" spans="1:11">
      <c r="B16" s="1392" t="s">
        <v>3980</v>
      </c>
      <c r="C16" s="1096"/>
      <c r="D16" s="1473" t="s">
        <v>3981</v>
      </c>
      <c r="E16" s="1099">
        <v>49</v>
      </c>
      <c r="F16" s="1394" t="s">
        <v>2494</v>
      </c>
    </row>
    <row r="17" spans="1:7">
      <c r="B17" s="1392"/>
      <c r="C17" s="1096"/>
      <c r="D17" s="1473"/>
      <c r="E17" s="1096"/>
      <c r="F17" s="1394"/>
    </row>
    <row r="18" spans="1:7" ht="13.5" thickBot="1">
      <c r="B18" s="1395" t="s">
        <v>2595</v>
      </c>
      <c r="C18" s="1396"/>
      <c r="D18" s="1474" t="s">
        <v>4135</v>
      </c>
      <c r="E18" s="1475">
        <v>49</v>
      </c>
      <c r="F18" s="1398"/>
    </row>
    <row r="19" spans="1:7" ht="13.5" thickBot="1">
      <c r="D19" s="830"/>
    </row>
    <row r="20" spans="1:7">
      <c r="A20" s="1096"/>
      <c r="B20" s="1389" t="s">
        <v>3980</v>
      </c>
      <c r="C20" s="1390"/>
      <c r="D20" s="1472" t="s">
        <v>4136</v>
      </c>
      <c r="E20" s="1476">
        <v>2.0408163265306121E-2</v>
      </c>
      <c r="F20" s="1391" t="s">
        <v>2494</v>
      </c>
    </row>
    <row r="21" spans="1:7">
      <c r="A21" s="1096"/>
      <c r="B21" s="1392"/>
      <c r="C21" s="1096"/>
      <c r="D21" s="1473" t="s">
        <v>4136</v>
      </c>
      <c r="E21" s="1096">
        <v>2.0408163265306121E-2</v>
      </c>
      <c r="F21" s="1394" t="s">
        <v>2494</v>
      </c>
    </row>
    <row r="22" spans="1:7">
      <c r="B22" s="1392"/>
      <c r="C22" s="1096"/>
      <c r="D22" s="1477"/>
      <c r="E22" s="1096"/>
      <c r="F22" s="1394"/>
    </row>
    <row r="23" spans="1:7">
      <c r="B23" s="1392" t="s">
        <v>4137</v>
      </c>
      <c r="C23" s="1096"/>
      <c r="D23" s="1478">
        <v>1.0204081632653061</v>
      </c>
      <c r="E23" s="1096"/>
      <c r="F23" s="1394"/>
    </row>
    <row r="24" spans="1:7">
      <c r="B24" s="1392"/>
      <c r="C24" s="1096"/>
      <c r="D24" s="1473"/>
      <c r="E24" s="1096"/>
      <c r="F24" s="1394"/>
    </row>
    <row r="25" spans="1:7" ht="13.5" thickBot="1">
      <c r="B25" s="1395" t="s">
        <v>2537</v>
      </c>
      <c r="C25" s="1396"/>
      <c r="D25" s="1416">
        <v>8.1632653061224492</v>
      </c>
      <c r="E25" s="1396"/>
      <c r="F25" s="1398"/>
      <c r="G25" s="831" t="s">
        <v>4138</v>
      </c>
    </row>
    <row r="26" spans="1:7" ht="13.5" thickBot="1">
      <c r="D26" s="830"/>
    </row>
    <row r="27" spans="1:7">
      <c r="B27" s="1389" t="s">
        <v>526</v>
      </c>
      <c r="C27" s="1390"/>
      <c r="D27" s="1479">
        <v>2.4489795918367343</v>
      </c>
      <c r="E27" s="1390" t="s">
        <v>212</v>
      </c>
      <c r="F27" s="1391" t="s">
        <v>3096</v>
      </c>
      <c r="G27" s="831" t="s">
        <v>4139</v>
      </c>
    </row>
    <row r="28" spans="1:7">
      <c r="B28" s="1392"/>
      <c r="C28" s="1096"/>
      <c r="D28" s="1473"/>
      <c r="E28" s="1096"/>
      <c r="F28" s="1394"/>
    </row>
    <row r="29" spans="1:7" ht="13.5" thickBot="1">
      <c r="B29" s="1395" t="s">
        <v>4140</v>
      </c>
      <c r="C29" s="1396"/>
      <c r="D29" s="1416">
        <v>-4.8979591836734393E-2</v>
      </c>
      <c r="E29" s="1396" t="s">
        <v>212</v>
      </c>
      <c r="F29" s="1398"/>
    </row>
  </sheetData>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5"/>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4141</v>
      </c>
      <c r="B2" s="1381" t="s">
        <v>4142</v>
      </c>
      <c r="C2" s="1382"/>
      <c r="D2" s="1382"/>
      <c r="E2" s="1382"/>
      <c r="F2" s="1382"/>
      <c r="G2" s="1382"/>
      <c r="H2" s="1383"/>
    </row>
    <row r="3" spans="1:8" ht="13.5" thickBot="1">
      <c r="B3" s="1386" t="s">
        <v>4143</v>
      </c>
      <c r="C3" s="1387"/>
      <c r="D3" s="1387"/>
      <c r="E3" s="1387"/>
      <c r="F3" s="1387"/>
      <c r="G3" s="1387"/>
      <c r="H3" s="1388"/>
    </row>
    <row r="5" spans="1:8">
      <c r="B5" s="818"/>
      <c r="C5" s="831" t="s">
        <v>3977</v>
      </c>
    </row>
    <row r="6" spans="1:8" ht="13.5" thickBot="1"/>
    <row r="7" spans="1:8">
      <c r="B7" s="1389" t="s">
        <v>3978</v>
      </c>
      <c r="C7" s="1390"/>
      <c r="D7" s="1390"/>
      <c r="E7" s="1391"/>
    </row>
    <row r="8" spans="1:8">
      <c r="B8" s="1392" t="s">
        <v>3045</v>
      </c>
      <c r="C8" s="1096"/>
      <c r="D8" s="1393">
        <v>240</v>
      </c>
      <c r="E8" s="1394" t="s">
        <v>212</v>
      </c>
    </row>
    <row r="9" spans="1:8">
      <c r="B9" s="1392" t="s">
        <v>1773</v>
      </c>
      <c r="C9" s="1096"/>
      <c r="D9" s="1393">
        <v>10</v>
      </c>
      <c r="E9" s="1394" t="s">
        <v>212</v>
      </c>
    </row>
    <row r="10" spans="1:8" ht="13.5" thickBot="1">
      <c r="B10" s="1395" t="s">
        <v>526</v>
      </c>
      <c r="C10" s="1396"/>
      <c r="D10" s="1397">
        <v>8</v>
      </c>
      <c r="E10" s="1398" t="s">
        <v>212</v>
      </c>
    </row>
    <row r="11" spans="1:8" ht="13.5" thickBot="1"/>
    <row r="12" spans="1:8">
      <c r="B12" s="1389" t="s">
        <v>2486</v>
      </c>
      <c r="C12" s="1390"/>
      <c r="D12" s="1399">
        <v>3.3333333333333333E-2</v>
      </c>
      <c r="E12" s="1391"/>
      <c r="F12" s="831" t="s">
        <v>4101</v>
      </c>
    </row>
    <row r="13" spans="1:8" ht="13.5" thickBot="1">
      <c r="B13" s="1395" t="s">
        <v>2663</v>
      </c>
      <c r="C13" s="1396"/>
      <c r="D13" s="1449">
        <v>31</v>
      </c>
      <c r="E13" s="1398"/>
      <c r="F13" s="831" t="s">
        <v>4071</v>
      </c>
    </row>
    <row r="14" spans="1:8" ht="13.5" thickBot="1"/>
    <row r="15" spans="1:8" ht="13.5" thickBot="1">
      <c r="B15" s="1405" t="s">
        <v>1959</v>
      </c>
      <c r="C15" s="1406"/>
      <c r="D15" s="1455">
        <v>310</v>
      </c>
      <c r="E15" s="1408" t="s">
        <v>212</v>
      </c>
      <c r="F15" s="831" t="s">
        <v>4144</v>
      </c>
    </row>
    <row r="21" spans="4:9">
      <c r="D21" s="1448" t="s">
        <v>2594</v>
      </c>
      <c r="E21" s="1480">
        <v>240</v>
      </c>
      <c r="F21" s="831" t="s">
        <v>212</v>
      </c>
    </row>
    <row r="22" spans="4:9">
      <c r="D22" s="828" t="s">
        <v>1588</v>
      </c>
      <c r="E22" s="1480">
        <v>10</v>
      </c>
      <c r="F22" s="831" t="s">
        <v>212</v>
      </c>
    </row>
    <row r="23" spans="4:9">
      <c r="D23" s="828" t="s">
        <v>2593</v>
      </c>
      <c r="E23" s="1480">
        <v>8</v>
      </c>
      <c r="F23" s="831" t="s">
        <v>212</v>
      </c>
    </row>
    <row r="24" spans="4:9">
      <c r="D24" s="1448"/>
    </row>
    <row r="25" spans="4:9">
      <c r="D25" s="828" t="s">
        <v>2486</v>
      </c>
      <c r="E25" s="831">
        <v>3.3333333333333333E-2</v>
      </c>
      <c r="G25" s="831" t="s">
        <v>4145</v>
      </c>
    </row>
    <row r="26" spans="4:9">
      <c r="D26" s="830" t="s">
        <v>4146</v>
      </c>
      <c r="E26" s="963">
        <v>30</v>
      </c>
      <c r="G26" s="831" t="s">
        <v>4147</v>
      </c>
    </row>
    <row r="27" spans="4:9">
      <c r="D27" s="830"/>
    </row>
    <row r="28" spans="4:9">
      <c r="D28" s="830" t="s">
        <v>4148</v>
      </c>
      <c r="E28" s="831">
        <v>31</v>
      </c>
      <c r="G28" s="963">
        <v>0.5</v>
      </c>
      <c r="H28" s="831" t="s">
        <v>4149</v>
      </c>
      <c r="I28" s="831" t="s">
        <v>4150</v>
      </c>
    </row>
    <row r="29" spans="4:9">
      <c r="D29" s="830" t="s">
        <v>4148</v>
      </c>
      <c r="E29" s="831">
        <v>31</v>
      </c>
      <c r="G29" s="963">
        <v>0.1</v>
      </c>
      <c r="H29" s="831" t="s">
        <v>4151</v>
      </c>
      <c r="I29" s="831" t="s">
        <v>4152</v>
      </c>
    </row>
    <row r="31" spans="4:9">
      <c r="D31" s="830" t="s">
        <v>2983</v>
      </c>
      <c r="E31" s="831">
        <v>310</v>
      </c>
      <c r="F31" s="831" t="s">
        <v>212</v>
      </c>
    </row>
    <row r="33" spans="4:8">
      <c r="D33" s="831" t="s">
        <v>4153</v>
      </c>
      <c r="H33" s="831" t="s">
        <v>4154</v>
      </c>
    </row>
    <row r="35" spans="4:8">
      <c r="G35" s="831" t="s">
        <v>4155</v>
      </c>
    </row>
  </sheetData>
  <pageMargins left="0.78740157499999996" right="0.78740157499999996" top="0.984251969" bottom="0.984251969" header="0.4921259845" footer="0.4921259845"/>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4156</v>
      </c>
      <c r="B2" s="1381" t="s">
        <v>4157</v>
      </c>
      <c r="C2" s="1382"/>
      <c r="D2" s="1382"/>
      <c r="E2" s="1382"/>
      <c r="F2" s="1382"/>
      <c r="G2" s="1382"/>
      <c r="H2" s="1383"/>
    </row>
    <row r="3" spans="1:8">
      <c r="B3" s="1384" t="s">
        <v>4158</v>
      </c>
      <c r="C3" s="829"/>
      <c r="D3" s="829"/>
      <c r="E3" s="829"/>
      <c r="F3" s="829"/>
      <c r="G3" s="829"/>
      <c r="H3" s="1385"/>
    </row>
    <row r="4" spans="1:8" ht="13.5" thickBot="1">
      <c r="B4" s="1386" t="s">
        <v>4159</v>
      </c>
      <c r="C4" s="1387"/>
      <c r="D4" s="1387"/>
      <c r="E4" s="1387"/>
      <c r="F4" s="1387"/>
      <c r="G4" s="1387"/>
      <c r="H4" s="1388"/>
    </row>
    <row r="6" spans="1:8">
      <c r="B6" s="818"/>
      <c r="C6" s="831" t="s">
        <v>3977</v>
      </c>
    </row>
    <row r="7" spans="1:8" ht="13.5" thickBot="1"/>
    <row r="8" spans="1:8">
      <c r="B8" s="1389" t="s">
        <v>3978</v>
      </c>
      <c r="C8" s="1390"/>
      <c r="D8" s="1390"/>
      <c r="E8" s="1391"/>
    </row>
    <row r="9" spans="1:8">
      <c r="B9" s="1392" t="s">
        <v>3045</v>
      </c>
      <c r="C9" s="1096"/>
      <c r="D9" s="1393">
        <v>160</v>
      </c>
      <c r="E9" s="1394" t="s">
        <v>212</v>
      </c>
    </row>
    <row r="10" spans="1:8">
      <c r="B10" s="1392" t="s">
        <v>1773</v>
      </c>
      <c r="C10" s="1096"/>
      <c r="D10" s="1393">
        <v>10</v>
      </c>
      <c r="E10" s="1394" t="s">
        <v>212</v>
      </c>
    </row>
    <row r="11" spans="1:8" ht="13.5" thickBot="1">
      <c r="B11" s="1395" t="s">
        <v>1959</v>
      </c>
      <c r="C11" s="1396"/>
      <c r="D11" s="1397">
        <v>250</v>
      </c>
      <c r="E11" s="1398" t="s">
        <v>212</v>
      </c>
    </row>
    <row r="12" spans="1:8" ht="13.5" thickBot="1"/>
    <row r="13" spans="1:8">
      <c r="B13" s="1389" t="s">
        <v>2663</v>
      </c>
      <c r="C13" s="1390"/>
      <c r="D13" s="1390">
        <v>25</v>
      </c>
      <c r="E13" s="1391"/>
      <c r="F13" s="831" t="s">
        <v>4160</v>
      </c>
    </row>
    <row r="14" spans="1:8" ht="13.5" thickBot="1">
      <c r="B14" s="1395" t="s">
        <v>2486</v>
      </c>
      <c r="C14" s="1396"/>
      <c r="D14" s="1481">
        <v>4.1666666666666664E-2</v>
      </c>
      <c r="E14" s="1398"/>
      <c r="F14" s="831" t="s">
        <v>4161</v>
      </c>
    </row>
    <row r="15" spans="1:8" ht="13.5" thickBot="1"/>
    <row r="16" spans="1:8" ht="13.5" thickBot="1">
      <c r="B16" s="1405" t="s">
        <v>526</v>
      </c>
      <c r="C16" s="1406"/>
      <c r="D16" s="1445">
        <v>6.6666666666666661</v>
      </c>
      <c r="E16" s="1408" t="s">
        <v>212</v>
      </c>
      <c r="F16" s="831" t="s">
        <v>4120</v>
      </c>
    </row>
  </sheetData>
  <pageMargins left="0.78740157499999996" right="0.78740157499999996" top="0.984251969" bottom="0.984251969" header="0.4921259845" footer="0.492125984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
  <sheetViews>
    <sheetView workbookViewId="0">
      <selection activeCell="J26" sqref="J26"/>
    </sheetView>
  </sheetViews>
  <sheetFormatPr baseColWidth="10" defaultColWidth="11.42578125" defaultRowHeight="12.75"/>
  <cols>
    <col min="1" max="16384" width="11.42578125" style="831"/>
  </cols>
  <sheetData>
    <row r="1" spans="1:6" ht="13.5" thickBot="1"/>
    <row r="2" spans="1:6">
      <c r="A2" s="963" t="s">
        <v>4162</v>
      </c>
      <c r="B2" s="1381" t="s">
        <v>4163</v>
      </c>
      <c r="C2" s="1382"/>
      <c r="D2" s="1382"/>
      <c r="E2" s="1382"/>
      <c r="F2" s="1383"/>
    </row>
    <row r="3" spans="1:6" ht="13.5" thickBot="1">
      <c r="B3" s="1386" t="s">
        <v>4164</v>
      </c>
      <c r="C3" s="1387"/>
      <c r="D3" s="1387"/>
      <c r="E3" s="1387"/>
      <c r="F3" s="1388"/>
    </row>
    <row r="5" spans="1:6">
      <c r="B5" s="818"/>
      <c r="C5" s="831" t="s">
        <v>3977</v>
      </c>
    </row>
    <row r="6" spans="1:6" ht="13.5" thickBot="1"/>
    <row r="7" spans="1:6">
      <c r="B7" s="1389" t="s">
        <v>3978</v>
      </c>
      <c r="C7" s="1390"/>
      <c r="D7" s="1390"/>
      <c r="E7" s="1391"/>
    </row>
    <row r="8" spans="1:6">
      <c r="B8" s="1392" t="s">
        <v>1774</v>
      </c>
      <c r="C8" s="1096"/>
      <c r="D8" s="1393">
        <v>16.2</v>
      </c>
      <c r="E8" s="1394" t="s">
        <v>212</v>
      </c>
    </row>
    <row r="9" spans="1:6" ht="13.5" thickBot="1">
      <c r="B9" s="1395" t="s">
        <v>2486</v>
      </c>
      <c r="C9" s="1396"/>
      <c r="D9" s="1482">
        <v>0.2</v>
      </c>
      <c r="E9" s="1398"/>
    </row>
    <row r="10" spans="1:6" ht="13.5" thickBot="1"/>
    <row r="11" spans="1:6" ht="13.5" thickBot="1">
      <c r="B11" s="1405" t="s">
        <v>1773</v>
      </c>
      <c r="C11" s="1406"/>
      <c r="D11" s="1455">
        <v>13.5</v>
      </c>
      <c r="E11" s="1408" t="s">
        <v>212</v>
      </c>
      <c r="F11" s="831" t="s">
        <v>4109</v>
      </c>
    </row>
    <row r="12" spans="1:6" ht="13.5" thickBot="1"/>
    <row r="13" spans="1:6">
      <c r="B13" s="1389" t="s">
        <v>2663</v>
      </c>
      <c r="C13" s="1390"/>
      <c r="D13" s="1483">
        <v>6</v>
      </c>
      <c r="E13" s="1391"/>
    </row>
    <row r="14" spans="1:6" ht="13.5" thickBot="1">
      <c r="B14" s="1395" t="s">
        <v>1959</v>
      </c>
      <c r="C14" s="1396"/>
      <c r="D14" s="1449">
        <v>81</v>
      </c>
      <c r="E14" s="1398" t="s">
        <v>212</v>
      </c>
      <c r="F14" s="831" t="s">
        <v>4072</v>
      </c>
    </row>
  </sheetData>
  <pageMargins left="0.78740157499999996" right="0.78740157499999996" top="0.984251969" bottom="0.984251969" header="0.4921259845" footer="0.492125984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4"/>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4165</v>
      </c>
      <c r="B2" s="1381" t="s">
        <v>4166</v>
      </c>
      <c r="C2" s="1382"/>
      <c r="D2" s="1382"/>
      <c r="E2" s="1382"/>
      <c r="F2" s="1382"/>
      <c r="G2" s="1383"/>
    </row>
    <row r="3" spans="1:7" ht="13.5" thickBot="1">
      <c r="B3" s="1386" t="s">
        <v>4167</v>
      </c>
      <c r="C3" s="1387"/>
      <c r="D3" s="1387"/>
      <c r="E3" s="1387"/>
      <c r="F3" s="1387"/>
      <c r="G3" s="1388"/>
    </row>
    <row r="5" spans="1:7">
      <c r="B5" s="818"/>
      <c r="C5" s="831" t="s">
        <v>3977</v>
      </c>
    </row>
    <row r="6" spans="1:7" ht="13.5" thickBot="1"/>
    <row r="7" spans="1:7">
      <c r="B7" s="1389" t="s">
        <v>3978</v>
      </c>
      <c r="C7" s="1390"/>
      <c r="D7" s="1390"/>
      <c r="E7" s="1391"/>
    </row>
    <row r="8" spans="1:7">
      <c r="B8" s="1392" t="s">
        <v>1959</v>
      </c>
      <c r="C8" s="1096"/>
      <c r="D8" s="1393">
        <v>600</v>
      </c>
      <c r="E8" s="1394" t="s">
        <v>212</v>
      </c>
    </row>
    <row r="9" spans="1:7" ht="13.5" thickBot="1">
      <c r="B9" s="1395" t="s">
        <v>1773</v>
      </c>
      <c r="C9" s="1396"/>
      <c r="D9" s="1397">
        <v>15</v>
      </c>
      <c r="E9" s="1398" t="s">
        <v>212</v>
      </c>
    </row>
    <row r="10" spans="1:7" ht="13.5" thickBot="1"/>
    <row r="11" spans="1:7">
      <c r="B11" s="1389" t="s">
        <v>2663</v>
      </c>
      <c r="C11" s="1390"/>
      <c r="D11" s="1390">
        <v>40</v>
      </c>
      <c r="E11" s="1391"/>
      <c r="F11" s="831" t="s">
        <v>4160</v>
      </c>
    </row>
    <row r="12" spans="1:7" ht="13.5" thickBot="1">
      <c r="B12" s="1395" t="s">
        <v>2486</v>
      </c>
      <c r="C12" s="1396"/>
      <c r="D12" s="1481">
        <v>2.564102564102564E-2</v>
      </c>
      <c r="E12" s="1398"/>
      <c r="F12" s="831" t="s">
        <v>4161</v>
      </c>
    </row>
    <row r="13" spans="1:7" ht="13.5" thickBot="1"/>
    <row r="14" spans="1:7" ht="13.5" thickBot="1">
      <c r="B14" s="1405" t="s">
        <v>1774</v>
      </c>
      <c r="C14" s="1406"/>
      <c r="D14" s="1445">
        <v>15.384615384615383</v>
      </c>
      <c r="E14" s="1408" t="s">
        <v>212</v>
      </c>
      <c r="F14" s="831" t="s">
        <v>4055</v>
      </c>
    </row>
  </sheetData>
  <pageMargins left="0.78740157499999996" right="0.78740157499999996" top="0.984251969" bottom="0.984251969" header="0.4921259845" footer="0.492125984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5"/>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4168</v>
      </c>
      <c r="B2" s="1381" t="s">
        <v>4169</v>
      </c>
      <c r="C2" s="1382"/>
      <c r="D2" s="1382"/>
      <c r="E2" s="1382"/>
      <c r="F2" s="1382"/>
      <c r="G2" s="1382"/>
      <c r="H2" s="1382"/>
      <c r="I2" s="1383"/>
    </row>
    <row r="3" spans="1:9" ht="13.5" thickBot="1">
      <c r="B3" s="1386" t="s">
        <v>4170</v>
      </c>
      <c r="C3" s="1387"/>
      <c r="D3" s="1387"/>
      <c r="E3" s="1387"/>
      <c r="F3" s="1387"/>
      <c r="G3" s="1387"/>
      <c r="H3" s="1387"/>
      <c r="I3" s="1388"/>
    </row>
    <row r="5" spans="1:9">
      <c r="B5" s="818"/>
      <c r="C5" s="831" t="s">
        <v>3977</v>
      </c>
    </row>
    <row r="6" spans="1:9" ht="13.5" thickBot="1"/>
    <row r="7" spans="1:9">
      <c r="B7" s="1389" t="s">
        <v>3978</v>
      </c>
      <c r="C7" s="1390"/>
      <c r="D7" s="1390"/>
      <c r="E7" s="1391"/>
    </row>
    <row r="8" spans="1:9">
      <c r="B8" s="1392" t="s">
        <v>3045</v>
      </c>
      <c r="C8" s="1096"/>
      <c r="D8" s="1393">
        <v>30000</v>
      </c>
      <c r="E8" s="1394" t="s">
        <v>212</v>
      </c>
    </row>
    <row r="9" spans="1:9">
      <c r="B9" s="1392" t="s">
        <v>1773</v>
      </c>
      <c r="C9" s="1096"/>
      <c r="D9" s="1393">
        <v>5</v>
      </c>
      <c r="E9" s="1394" t="s">
        <v>212</v>
      </c>
    </row>
    <row r="10" spans="1:9" ht="13.5" thickBot="1">
      <c r="B10" s="1395" t="s">
        <v>526</v>
      </c>
      <c r="C10" s="1396"/>
      <c r="D10" s="1397">
        <v>3</v>
      </c>
      <c r="E10" s="1398" t="s">
        <v>212</v>
      </c>
    </row>
    <row r="11" spans="1:9" ht="13.5" thickBot="1"/>
    <row r="12" spans="1:9">
      <c r="B12" s="1389" t="s">
        <v>2486</v>
      </c>
      <c r="C12" s="1390"/>
      <c r="D12" s="1390">
        <v>1E-4</v>
      </c>
      <c r="E12" s="1391"/>
      <c r="F12" s="831" t="s">
        <v>4171</v>
      </c>
    </row>
    <row r="13" spans="1:9" ht="13.5" thickBot="1">
      <c r="B13" s="1395" t="s">
        <v>2663</v>
      </c>
      <c r="C13" s="1396"/>
      <c r="D13" s="1396">
        <v>10001</v>
      </c>
      <c r="E13" s="1398"/>
    </row>
    <row r="14" spans="1:9" ht="13.5" thickBot="1"/>
    <row r="15" spans="1:9" ht="13.5" thickBot="1">
      <c r="B15" s="1405" t="s">
        <v>1959</v>
      </c>
      <c r="C15" s="1406"/>
      <c r="D15" s="1455">
        <v>50005</v>
      </c>
      <c r="E15" s="1408" t="s">
        <v>212</v>
      </c>
      <c r="F15" s="831" t="s">
        <v>4144</v>
      </c>
    </row>
  </sheetData>
  <pageMargins left="0.78740157499999996" right="0.78740157499999996" top="0.984251969" bottom="0.984251969" header="0.4921259845" footer="0.492125984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6"/>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4172</v>
      </c>
      <c r="B2" s="1381" t="s">
        <v>4173</v>
      </c>
      <c r="C2" s="1382"/>
      <c r="D2" s="1382"/>
      <c r="E2" s="1382"/>
      <c r="F2" s="1382"/>
      <c r="G2" s="1383"/>
    </row>
    <row r="3" spans="1:7">
      <c r="B3" s="1384" t="s">
        <v>4174</v>
      </c>
      <c r="C3" s="829"/>
      <c r="D3" s="829"/>
      <c r="E3" s="829"/>
      <c r="F3" s="829"/>
      <c r="G3" s="1385"/>
    </row>
    <row r="4" spans="1:7" ht="13.5" thickBot="1">
      <c r="B4" s="1386" t="s">
        <v>4175</v>
      </c>
      <c r="C4" s="1387"/>
      <c r="D4" s="1387"/>
      <c r="E4" s="1387"/>
      <c r="F4" s="1387"/>
      <c r="G4" s="1388"/>
    </row>
    <row r="6" spans="1:7">
      <c r="B6" s="818"/>
      <c r="C6" s="831" t="s">
        <v>3977</v>
      </c>
    </row>
    <row r="7" spans="1:7" ht="13.5" thickBot="1"/>
    <row r="8" spans="1:7">
      <c r="B8" s="1389" t="s">
        <v>3978</v>
      </c>
      <c r="C8" s="1390"/>
      <c r="D8" s="1390"/>
      <c r="E8" s="1391"/>
    </row>
    <row r="9" spans="1:7">
      <c r="B9" s="1392" t="s">
        <v>3045</v>
      </c>
      <c r="C9" s="1096"/>
      <c r="D9" s="1393">
        <v>240</v>
      </c>
      <c r="E9" s="1394" t="s">
        <v>212</v>
      </c>
    </row>
    <row r="10" spans="1:7">
      <c r="B10" s="1392" t="s">
        <v>1959</v>
      </c>
      <c r="C10" s="1096"/>
      <c r="D10" s="1393">
        <v>400</v>
      </c>
      <c r="E10" s="1394" t="s">
        <v>212</v>
      </c>
    </row>
    <row r="11" spans="1:7" ht="13.5" thickBot="1">
      <c r="B11" s="1395" t="s">
        <v>1773</v>
      </c>
      <c r="C11" s="1396"/>
      <c r="D11" s="1397">
        <v>7.5</v>
      </c>
      <c r="E11" s="1398" t="s">
        <v>212</v>
      </c>
    </row>
    <row r="12" spans="1:7" ht="13.5" thickBot="1"/>
    <row r="13" spans="1:7">
      <c r="B13" s="1389" t="s">
        <v>2486</v>
      </c>
      <c r="C13" s="1390"/>
      <c r="D13" s="1444">
        <v>52.333333333333336</v>
      </c>
      <c r="E13" s="1391"/>
      <c r="F13" s="831" t="s">
        <v>4176</v>
      </c>
    </row>
    <row r="14" spans="1:7" ht="13.5" thickBot="1">
      <c r="B14" s="1395"/>
      <c r="C14" s="1396"/>
      <c r="D14" s="1404">
        <v>1.9108280254777069E-2</v>
      </c>
      <c r="E14" s="1398"/>
      <c r="F14" s="831" t="s">
        <v>4177</v>
      </c>
    </row>
    <row r="15" spans="1:7" ht="13.5" thickBot="1">
      <c r="D15" s="1484"/>
    </row>
    <row r="16" spans="1:7" ht="13.5" thickBot="1">
      <c r="B16" s="1405" t="s">
        <v>526</v>
      </c>
      <c r="C16" s="1406"/>
      <c r="D16" s="1445">
        <v>4.5859872611464967</v>
      </c>
      <c r="E16" s="1408" t="s">
        <v>212</v>
      </c>
      <c r="F16" s="831" t="s">
        <v>4003</v>
      </c>
    </row>
  </sheetData>
  <pageMargins left="0.78740157499999996" right="0.78740157499999996" top="0.984251969" bottom="0.984251969" header="0.4921259845" footer="0.492125984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4178</v>
      </c>
      <c r="B2" s="1381" t="s">
        <v>4179</v>
      </c>
      <c r="C2" s="1382"/>
      <c r="D2" s="1382"/>
      <c r="E2" s="1382"/>
      <c r="F2" s="1382"/>
      <c r="G2" s="1382"/>
      <c r="H2" s="1382"/>
      <c r="I2" s="1383"/>
    </row>
    <row r="3" spans="1:9">
      <c r="B3" s="1384" t="s">
        <v>4180</v>
      </c>
      <c r="C3" s="829"/>
      <c r="D3" s="829"/>
      <c r="E3" s="829"/>
      <c r="F3" s="829"/>
      <c r="G3" s="829"/>
      <c r="H3" s="829"/>
      <c r="I3" s="1385"/>
    </row>
    <row r="4" spans="1:9" ht="13.5" thickBot="1">
      <c r="B4" s="1386" t="s">
        <v>4181</v>
      </c>
      <c r="C4" s="1387"/>
      <c r="D4" s="1387"/>
      <c r="E4" s="1387"/>
      <c r="F4" s="1387"/>
      <c r="G4" s="1387"/>
      <c r="H4" s="1387"/>
      <c r="I4" s="1388"/>
    </row>
    <row r="6" spans="1:9">
      <c r="B6" s="818"/>
      <c r="C6" s="831" t="s">
        <v>3977</v>
      </c>
    </row>
    <row r="7" spans="1:9" ht="13.5" thickBot="1"/>
    <row r="8" spans="1:9">
      <c r="B8" s="1389" t="s">
        <v>3978</v>
      </c>
      <c r="C8" s="1390"/>
      <c r="D8" s="1390"/>
      <c r="E8" s="1391"/>
    </row>
    <row r="9" spans="1:9">
      <c r="B9" s="1392" t="s">
        <v>3045</v>
      </c>
      <c r="C9" s="1096"/>
      <c r="D9" s="1393">
        <v>400</v>
      </c>
      <c r="E9" s="1394" t="s">
        <v>212</v>
      </c>
    </row>
    <row r="10" spans="1:9">
      <c r="B10" s="1392" t="s">
        <v>4000</v>
      </c>
      <c r="C10" s="1096"/>
      <c r="D10" s="1393">
        <v>300</v>
      </c>
      <c r="E10" s="1394" t="s">
        <v>212</v>
      </c>
    </row>
    <row r="11" spans="1:9">
      <c r="B11" s="1392" t="s">
        <v>1959</v>
      </c>
      <c r="C11" s="1096"/>
      <c r="D11" s="1393">
        <v>546</v>
      </c>
      <c r="E11" s="1394" t="s">
        <v>212</v>
      </c>
    </row>
    <row r="12" spans="1:9">
      <c r="B12" s="1392" t="s">
        <v>526</v>
      </c>
      <c r="C12" s="1096"/>
      <c r="D12" s="1393">
        <v>16</v>
      </c>
      <c r="E12" s="1394" t="s">
        <v>212</v>
      </c>
    </row>
    <row r="13" spans="1:9" ht="13.5" thickBot="1">
      <c r="B13" s="1395" t="s">
        <v>520</v>
      </c>
      <c r="C13" s="1396"/>
      <c r="D13" s="1397">
        <v>12</v>
      </c>
      <c r="E13" s="1398" t="s">
        <v>212</v>
      </c>
    </row>
    <row r="14" spans="1:9" ht="13.5" thickBot="1"/>
    <row r="15" spans="1:9">
      <c r="B15" s="1389" t="s">
        <v>2486</v>
      </c>
      <c r="C15" s="1390"/>
      <c r="D15" s="1399">
        <v>0.04</v>
      </c>
      <c r="E15" s="1391"/>
    </row>
    <row r="16" spans="1:9" ht="13.5" thickBot="1">
      <c r="B16" s="1395" t="s">
        <v>2663</v>
      </c>
      <c r="C16" s="1396"/>
      <c r="D16" s="1404">
        <v>26</v>
      </c>
      <c r="E16" s="1398"/>
      <c r="F16" s="831" t="s">
        <v>4182</v>
      </c>
    </row>
    <row r="17" spans="2:6" ht="13.5" thickBot="1"/>
    <row r="18" spans="2:6" ht="13.5" thickBot="1">
      <c r="B18" s="1405" t="s">
        <v>1773</v>
      </c>
      <c r="C18" s="1406"/>
      <c r="D18" s="1455">
        <v>21</v>
      </c>
      <c r="E18" s="1408"/>
      <c r="F18" s="831" t="s">
        <v>4109</v>
      </c>
    </row>
  </sheetData>
  <pageMargins left="0.78740157499999996" right="0.78740157499999996" top="0.984251969" bottom="0.984251969" header="0.4921259845" footer="0.492125984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7"/>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4183</v>
      </c>
      <c r="B2" s="1381" t="s">
        <v>4184</v>
      </c>
      <c r="C2" s="1382"/>
      <c r="D2" s="1382"/>
      <c r="E2" s="1382"/>
      <c r="F2" s="1382"/>
      <c r="G2" s="1382"/>
      <c r="H2" s="1383"/>
    </row>
    <row r="3" spans="1:8" ht="13.5" thickBot="1">
      <c r="B3" s="1386" t="s">
        <v>4185</v>
      </c>
      <c r="C3" s="1387"/>
      <c r="D3" s="1387"/>
      <c r="E3" s="1387"/>
      <c r="F3" s="1387"/>
      <c r="G3" s="1387"/>
      <c r="H3" s="1388"/>
    </row>
    <row r="5" spans="1:8">
      <c r="B5" s="818"/>
      <c r="C5" s="831" t="s">
        <v>3977</v>
      </c>
    </row>
    <row r="6" spans="1:8" ht="13.5" thickBot="1"/>
    <row r="7" spans="1:8">
      <c r="B7" s="1389" t="s">
        <v>3978</v>
      </c>
      <c r="C7" s="1390"/>
      <c r="D7" s="1390"/>
      <c r="E7" s="1391"/>
    </row>
    <row r="8" spans="1:8">
      <c r="B8" s="1392" t="s">
        <v>3045</v>
      </c>
      <c r="C8" s="1096"/>
      <c r="D8" s="1393">
        <v>300</v>
      </c>
      <c r="E8" s="1394" t="s">
        <v>212</v>
      </c>
    </row>
    <row r="9" spans="1:8">
      <c r="B9" s="1392" t="s">
        <v>1773</v>
      </c>
      <c r="C9" s="1096"/>
      <c r="D9" s="1393">
        <v>15</v>
      </c>
      <c r="E9" s="1394" t="s">
        <v>212</v>
      </c>
    </row>
    <row r="10" spans="1:8" ht="13.5" thickBot="1">
      <c r="B10" s="1395" t="s">
        <v>526</v>
      </c>
      <c r="C10" s="1396"/>
      <c r="D10" s="1397">
        <v>10</v>
      </c>
      <c r="E10" s="1398" t="s">
        <v>212</v>
      </c>
    </row>
    <row r="11" spans="1:8" ht="13.5" thickBot="1"/>
    <row r="12" spans="1:8">
      <c r="B12" s="1389" t="s">
        <v>2486</v>
      </c>
      <c r="C12" s="1390"/>
      <c r="D12" s="1399">
        <v>3.3333333333333333E-2</v>
      </c>
      <c r="E12" s="1391"/>
      <c r="F12" s="831" t="s">
        <v>4101</v>
      </c>
    </row>
    <row r="13" spans="1:8" ht="13.5" thickBot="1">
      <c r="B13" s="1395" t="s">
        <v>2663</v>
      </c>
      <c r="C13" s="1396"/>
      <c r="D13" s="1404">
        <v>31</v>
      </c>
      <c r="E13" s="1398"/>
      <c r="F13" s="831" t="s">
        <v>4071</v>
      </c>
    </row>
    <row r="14" spans="1:8" ht="13.5" thickBot="1"/>
    <row r="15" spans="1:8" ht="13.5" thickBot="1">
      <c r="B15" s="1485" t="s">
        <v>1959</v>
      </c>
      <c r="C15" s="1486"/>
      <c r="D15" s="1455">
        <v>465</v>
      </c>
      <c r="E15" s="1487" t="s">
        <v>212</v>
      </c>
      <c r="F15" s="831" t="s">
        <v>4144</v>
      </c>
    </row>
    <row r="16" spans="1:8" ht="13.5" thickBot="1"/>
    <row r="17" spans="2:6" ht="13.5" thickBot="1">
      <c r="B17" s="1405" t="s">
        <v>1774</v>
      </c>
      <c r="C17" s="1406"/>
      <c r="D17" s="1455">
        <v>15.5</v>
      </c>
      <c r="E17" s="1408" t="s">
        <v>212</v>
      </c>
      <c r="F17" s="831" t="s">
        <v>4055</v>
      </c>
    </row>
  </sheetData>
  <pageMargins left="0.78740157499999996" right="0.78740157499999996" top="0.984251969" bottom="0.984251969" header="0.4921259845" footer="0.4921259845"/>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4186</v>
      </c>
      <c r="B2" s="1381" t="s">
        <v>4187</v>
      </c>
      <c r="C2" s="1382"/>
      <c r="D2" s="1382"/>
      <c r="E2" s="1382"/>
      <c r="F2" s="1382"/>
      <c r="G2" s="1382"/>
      <c r="H2" s="1383"/>
    </row>
    <row r="3" spans="1:8" ht="13.5" thickBot="1">
      <c r="B3" s="1386" t="s">
        <v>4188</v>
      </c>
      <c r="C3" s="1387"/>
      <c r="D3" s="1387"/>
      <c r="E3" s="1387"/>
      <c r="F3" s="1387"/>
      <c r="G3" s="1387"/>
      <c r="H3" s="1388"/>
    </row>
    <row r="5" spans="1:8">
      <c r="B5" s="818"/>
      <c r="C5" s="831" t="s">
        <v>3977</v>
      </c>
    </row>
    <row r="6" spans="1:8" ht="13.5" thickBot="1"/>
    <row r="7" spans="1:8">
      <c r="B7" s="1389" t="s">
        <v>3978</v>
      </c>
      <c r="C7" s="1390"/>
      <c r="D7" s="1390"/>
      <c r="E7" s="1391"/>
    </row>
    <row r="8" spans="1:8">
      <c r="B8" s="1488" t="s">
        <v>1773</v>
      </c>
      <c r="C8" s="1096"/>
      <c r="D8" s="1393">
        <v>21</v>
      </c>
      <c r="E8" s="1394" t="s">
        <v>212</v>
      </c>
    </row>
    <row r="9" spans="1:8" ht="13.5" thickBot="1">
      <c r="B9" s="1395" t="s">
        <v>2486</v>
      </c>
      <c r="C9" s="1396"/>
      <c r="D9" s="1482">
        <v>0.2</v>
      </c>
      <c r="E9" s="1398"/>
    </row>
    <row r="10" spans="1:8" ht="13.5" thickBot="1"/>
    <row r="11" spans="1:8" ht="13.5" thickBot="1">
      <c r="B11" s="1405" t="s">
        <v>2663</v>
      </c>
      <c r="C11" s="1406"/>
      <c r="D11" s="1454">
        <v>6</v>
      </c>
      <c r="E11" s="1408"/>
      <c r="F11" s="831" t="s">
        <v>4071</v>
      </c>
    </row>
    <row r="12" spans="1:8" ht="13.5" thickBot="1"/>
    <row r="13" spans="1:8" ht="13.5" thickBot="1">
      <c r="B13" s="1405" t="s">
        <v>1959</v>
      </c>
      <c r="C13" s="1406"/>
      <c r="D13" s="1455">
        <v>126</v>
      </c>
      <c r="E13" s="1408" t="s">
        <v>212</v>
      </c>
      <c r="F13" s="831" t="s">
        <v>4144</v>
      </c>
    </row>
  </sheetData>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3"/>
  <sheetViews>
    <sheetView workbookViewId="0">
      <selection activeCell="Q18" sqref="Q18"/>
    </sheetView>
  </sheetViews>
  <sheetFormatPr baseColWidth="10" defaultRowHeight="12.75"/>
  <cols>
    <col min="2" max="2" width="17.28515625" customWidth="1"/>
  </cols>
  <sheetData>
    <row r="2" spans="1:8">
      <c r="A2" s="1"/>
      <c r="B2" s="1"/>
      <c r="C2" s="1"/>
      <c r="D2" s="1"/>
      <c r="E2" s="1"/>
      <c r="F2" s="1"/>
      <c r="G2" s="1"/>
      <c r="H2" s="1"/>
    </row>
    <row r="3" spans="1:8">
      <c r="A3" s="1"/>
      <c r="B3" s="2" t="s">
        <v>1910</v>
      </c>
      <c r="C3" s="165" t="s">
        <v>1911</v>
      </c>
      <c r="D3" s="1380">
        <v>90</v>
      </c>
      <c r="E3" s="1" t="s">
        <v>1846</v>
      </c>
      <c r="F3" s="1"/>
      <c r="G3" s="1"/>
      <c r="H3" s="1"/>
    </row>
    <row r="4" spans="1:8">
      <c r="A4" s="1"/>
      <c r="B4" s="1"/>
      <c r="C4" s="165"/>
      <c r="D4" s="26"/>
      <c r="E4" s="1"/>
      <c r="F4" s="1"/>
      <c r="G4" s="1"/>
      <c r="H4" s="1"/>
    </row>
    <row r="5" spans="1:8">
      <c r="A5" s="1"/>
      <c r="B5" s="1"/>
      <c r="C5" s="165" t="s">
        <v>1912</v>
      </c>
      <c r="D5" s="26">
        <f>RADIANS(D3)</f>
        <v>1.5707963267948966</v>
      </c>
      <c r="E5" s="1"/>
      <c r="F5" s="1"/>
      <c r="G5" s="1"/>
      <c r="H5" s="1"/>
    </row>
    <row r="6" spans="1:8">
      <c r="A6" s="1"/>
      <c r="B6" s="1"/>
      <c r="C6" s="1"/>
      <c r="D6" s="1"/>
      <c r="E6" s="1"/>
      <c r="F6" s="1"/>
      <c r="G6" s="1"/>
      <c r="H6" s="1"/>
    </row>
    <row r="7" spans="1:8">
      <c r="A7" s="1"/>
      <c r="B7" s="1"/>
      <c r="C7" s="165" t="s">
        <v>1913</v>
      </c>
      <c r="D7" s="761">
        <f>D5/(2*PI())</f>
        <v>0.25</v>
      </c>
      <c r="E7" s="1" t="s">
        <v>1914</v>
      </c>
      <c r="F7" s="1"/>
      <c r="G7" s="1"/>
      <c r="H7" s="1"/>
    </row>
    <row r="8" spans="1:8">
      <c r="A8" s="1"/>
      <c r="B8" s="1"/>
      <c r="C8" s="1"/>
      <c r="D8" s="1"/>
      <c r="E8" s="1"/>
      <c r="F8" s="1"/>
      <c r="G8" s="1"/>
      <c r="H8" s="1"/>
    </row>
    <row r="9" spans="1:8">
      <c r="A9" s="1"/>
      <c r="B9" s="1"/>
      <c r="C9" s="1"/>
      <c r="D9" s="1"/>
      <c r="E9" s="1"/>
      <c r="F9" s="1"/>
      <c r="G9" s="1"/>
      <c r="H9" s="1"/>
    </row>
    <row r="10" spans="1:8">
      <c r="A10" s="1"/>
      <c r="B10" s="8" t="s">
        <v>1915</v>
      </c>
      <c r="C10" s="8"/>
      <c r="D10" s="8"/>
      <c r="E10" s="8"/>
      <c r="F10" s="8"/>
      <c r="G10" s="1"/>
      <c r="H10" s="1"/>
    </row>
    <row r="11" spans="1:8">
      <c r="A11" s="1"/>
      <c r="B11" s="8" t="s">
        <v>1916</v>
      </c>
      <c r="C11" s="8"/>
      <c r="D11" s="8"/>
      <c r="E11" s="8"/>
      <c r="F11" s="8"/>
      <c r="G11" s="1"/>
      <c r="H11" s="1"/>
    </row>
    <row r="12" spans="1:8">
      <c r="A12" s="1"/>
      <c r="B12" s="8" t="s">
        <v>3970</v>
      </c>
      <c r="C12" s="8"/>
      <c r="D12" s="8"/>
      <c r="E12" s="8"/>
      <c r="F12" s="8"/>
      <c r="G12" s="1"/>
      <c r="H12" s="1"/>
    </row>
    <row r="13" spans="1:8">
      <c r="A13" s="1"/>
      <c r="B13" s="8" t="s">
        <v>3971</v>
      </c>
      <c r="C13" s="8">
        <f>2*PI()*1</f>
        <v>6.2831853071795862</v>
      </c>
      <c r="D13" s="8"/>
      <c r="E13" s="8"/>
      <c r="F13" s="8"/>
      <c r="G13" s="1"/>
      <c r="H13" s="1"/>
    </row>
    <row r="14" spans="1:8">
      <c r="A14" s="1"/>
      <c r="B14" s="8" t="s">
        <v>1919</v>
      </c>
      <c r="C14" s="8"/>
      <c r="D14" s="8"/>
      <c r="E14" s="8"/>
      <c r="F14" s="8"/>
      <c r="G14" s="1"/>
      <c r="H14" s="1"/>
    </row>
    <row r="15" spans="1:8">
      <c r="A15" s="1"/>
      <c r="B15" s="8"/>
      <c r="C15" s="8"/>
      <c r="D15" s="8"/>
      <c r="E15" s="8"/>
      <c r="F15" s="8"/>
      <c r="G15" s="1"/>
      <c r="H15" s="1"/>
    </row>
    <row r="16" spans="1:8">
      <c r="A16" s="1"/>
      <c r="B16" s="8" t="s">
        <v>1920</v>
      </c>
      <c r="C16" s="8"/>
      <c r="D16" s="8"/>
      <c r="E16" s="8"/>
      <c r="F16" s="8"/>
      <c r="G16" s="1"/>
      <c r="H16" s="1"/>
    </row>
    <row r="17" spans="1:8">
      <c r="A17" s="1"/>
      <c r="B17" s="8" t="s">
        <v>1921</v>
      </c>
      <c r="C17" s="8"/>
      <c r="D17" s="8"/>
      <c r="E17" s="8"/>
      <c r="F17" s="8"/>
      <c r="G17" s="1"/>
      <c r="H17" s="1"/>
    </row>
    <row r="18" spans="1:8">
      <c r="A18" s="1"/>
      <c r="B18" s="172" t="s">
        <v>3972</v>
      </c>
      <c r="C18" s="8"/>
      <c r="D18" s="8"/>
      <c r="E18" s="8"/>
      <c r="F18" s="8"/>
      <c r="G18" s="1"/>
      <c r="H18" s="1"/>
    </row>
    <row r="19" spans="1:8">
      <c r="A19" s="1"/>
      <c r="B19" s="8"/>
      <c r="C19" s="8"/>
      <c r="D19" s="8"/>
      <c r="E19" s="8"/>
      <c r="F19" s="8"/>
      <c r="G19" s="1"/>
      <c r="H19" s="1"/>
    </row>
    <row r="20" spans="1:8">
      <c r="A20" s="1"/>
      <c r="B20" s="8"/>
      <c r="C20" s="8"/>
      <c r="D20" s="8"/>
      <c r="E20" s="8"/>
      <c r="F20" s="8"/>
      <c r="G20" s="1"/>
      <c r="H20" s="1"/>
    </row>
    <row r="21" spans="1:8">
      <c r="A21" s="1"/>
      <c r="B21" s="8" t="s">
        <v>3973</v>
      </c>
      <c r="C21" s="8"/>
      <c r="D21" s="8"/>
      <c r="E21" s="8"/>
      <c r="F21" s="8"/>
      <c r="G21" s="1"/>
      <c r="H21" s="1"/>
    </row>
    <row r="22" spans="1:8">
      <c r="A22" s="1"/>
      <c r="B22" s="8"/>
      <c r="C22" s="8"/>
      <c r="D22" s="8"/>
      <c r="E22" s="8"/>
      <c r="F22" s="8"/>
      <c r="G22" s="1"/>
      <c r="H22" s="1"/>
    </row>
    <row r="23" spans="1:8">
      <c r="A23" s="1"/>
      <c r="B23" s="8" t="s">
        <v>1924</v>
      </c>
      <c r="C23" s="762" t="s">
        <v>1925</v>
      </c>
      <c r="D23" s="8"/>
      <c r="E23" s="8"/>
      <c r="F23" s="8"/>
      <c r="G23" s="1"/>
      <c r="H23" s="1"/>
    </row>
    <row r="24" spans="1:8">
      <c r="A24" s="1"/>
      <c r="B24" s="8"/>
      <c r="C24" s="8"/>
      <c r="D24" s="8"/>
      <c r="E24" s="8"/>
      <c r="F24" s="8"/>
      <c r="G24" s="1"/>
      <c r="H24" s="1"/>
    </row>
    <row r="25" spans="1:8">
      <c r="A25" s="1"/>
      <c r="B25" s="8">
        <f>2*PI()*1</f>
        <v>6.2831853071795862</v>
      </c>
      <c r="C25" s="8" t="s">
        <v>1926</v>
      </c>
      <c r="D25" s="8"/>
      <c r="E25" s="8"/>
      <c r="F25" s="8"/>
      <c r="G25" s="1"/>
      <c r="H25" s="1"/>
    </row>
    <row r="26" spans="1:8">
      <c r="A26" s="1"/>
      <c r="B26" s="8"/>
      <c r="C26" s="8"/>
      <c r="D26" s="8"/>
      <c r="E26" s="8"/>
      <c r="F26" s="8"/>
      <c r="G26" s="1"/>
      <c r="H26" s="1"/>
    </row>
    <row r="27" spans="1:8">
      <c r="A27" s="1"/>
      <c r="B27" s="8" t="s">
        <v>1927</v>
      </c>
      <c r="C27" s="8"/>
      <c r="D27" s="8"/>
      <c r="E27" s="8"/>
      <c r="F27" s="8"/>
      <c r="G27" s="1"/>
      <c r="H27" s="1"/>
    </row>
    <row r="28" spans="1:8">
      <c r="A28" s="1"/>
      <c r="B28" s="8"/>
      <c r="C28" s="8"/>
      <c r="D28" s="8"/>
      <c r="E28" s="8"/>
      <c r="F28" s="8"/>
      <c r="G28" s="1"/>
      <c r="H28" s="1"/>
    </row>
    <row r="29" spans="1:8">
      <c r="A29" s="1"/>
      <c r="B29" s="8" t="s">
        <v>1928</v>
      </c>
      <c r="C29" s="8"/>
      <c r="D29" s="8"/>
      <c r="E29" s="8"/>
      <c r="F29" s="8"/>
      <c r="G29" s="1"/>
      <c r="H29" s="1"/>
    </row>
    <row r="30" spans="1:8">
      <c r="A30" s="1"/>
      <c r="B30" s="8" t="s">
        <v>1929</v>
      </c>
      <c r="C30" s="8"/>
      <c r="D30" s="8"/>
      <c r="E30" s="8"/>
      <c r="F30" s="8"/>
      <c r="G30" s="1"/>
      <c r="H30" s="1"/>
    </row>
    <row r="31" spans="1:8">
      <c r="A31" s="1"/>
      <c r="B31" s="8"/>
      <c r="C31" s="8"/>
      <c r="D31" s="8"/>
      <c r="E31" s="8"/>
      <c r="F31" s="8"/>
      <c r="G31" s="1"/>
      <c r="H31" s="1"/>
    </row>
    <row r="32" spans="1:8">
      <c r="A32" s="1"/>
      <c r="B32" s="762" t="s">
        <v>1930</v>
      </c>
      <c r="C32" s="8"/>
      <c r="D32" s="8"/>
      <c r="E32" s="8"/>
      <c r="F32" s="8"/>
      <c r="G32" s="1"/>
      <c r="H32" s="1"/>
    </row>
    <row r="33" spans="1:8">
      <c r="A33" s="1"/>
      <c r="B33" s="8"/>
      <c r="C33" s="8"/>
      <c r="D33" s="8"/>
      <c r="E33" s="8"/>
      <c r="F33" s="8"/>
      <c r="G33" s="1"/>
      <c r="H33" s="1"/>
    </row>
    <row r="34" spans="1:8">
      <c r="A34" s="1"/>
      <c r="B34" s="8" t="s">
        <v>431</v>
      </c>
      <c r="C34" s="8"/>
      <c r="D34" s="8"/>
      <c r="E34" s="8"/>
      <c r="F34" s="8"/>
      <c r="G34" s="1"/>
      <c r="H34" s="1"/>
    </row>
    <row r="35" spans="1:8">
      <c r="A35" s="1"/>
      <c r="B35" s="190" t="s">
        <v>1931</v>
      </c>
      <c r="C35" s="8"/>
      <c r="D35" s="8"/>
      <c r="E35" s="8"/>
      <c r="F35" s="8"/>
      <c r="G35" s="1"/>
      <c r="H35" s="1"/>
    </row>
    <row r="36" spans="1:8">
      <c r="A36" s="1"/>
      <c r="B36" s="8" t="s">
        <v>1932</v>
      </c>
      <c r="C36" s="8"/>
      <c r="D36" s="8"/>
      <c r="E36" s="8"/>
      <c r="F36" s="8"/>
      <c r="G36" s="1"/>
      <c r="H36" s="1"/>
    </row>
    <row r="37" spans="1:8">
      <c r="A37" s="1"/>
      <c r="B37" s="8" t="s">
        <v>1933</v>
      </c>
      <c r="C37" s="8"/>
      <c r="D37" s="8"/>
      <c r="E37" s="8"/>
      <c r="F37" s="8"/>
      <c r="G37" s="1"/>
      <c r="H37" s="1"/>
    </row>
    <row r="38" spans="1:8">
      <c r="A38" s="1"/>
      <c r="B38" s="8"/>
      <c r="C38" s="8"/>
      <c r="D38" s="8"/>
      <c r="E38" s="8"/>
      <c r="F38" s="8"/>
      <c r="G38" s="1"/>
      <c r="H38" s="1"/>
    </row>
    <row r="39" spans="1:8">
      <c r="A39" s="1"/>
      <c r="B39" s="8"/>
      <c r="C39" s="8"/>
      <c r="D39" s="8"/>
      <c r="E39" s="8"/>
      <c r="F39" s="8"/>
      <c r="G39" s="1"/>
      <c r="H39" s="1"/>
    </row>
    <row r="40" spans="1:8">
      <c r="A40" s="1"/>
      <c r="B40" s="1"/>
      <c r="C40" s="1"/>
      <c r="D40" s="1"/>
      <c r="E40" s="1"/>
      <c r="F40" s="1"/>
      <c r="G40" s="1"/>
      <c r="H40" s="1"/>
    </row>
    <row r="41" spans="1:8">
      <c r="A41" s="1"/>
      <c r="B41" s="1"/>
      <c r="C41" s="1"/>
      <c r="D41" s="1"/>
      <c r="E41" s="1"/>
      <c r="F41" s="1"/>
      <c r="G41" s="1"/>
      <c r="H41" s="1"/>
    </row>
    <row r="42" spans="1:8">
      <c r="A42" s="1"/>
      <c r="B42" s="1"/>
      <c r="C42" s="1"/>
      <c r="D42" s="1"/>
      <c r="E42" s="1"/>
      <c r="F42" s="1"/>
      <c r="G42" s="1"/>
      <c r="H42" s="1"/>
    </row>
    <row r="43" spans="1:8">
      <c r="A43" s="1"/>
      <c r="B43" s="2" t="s">
        <v>1934</v>
      </c>
      <c r="C43" s="1"/>
      <c r="D43" s="1"/>
      <c r="E43" s="1"/>
      <c r="F43" s="1"/>
      <c r="G43" s="1"/>
      <c r="H43" s="1"/>
    </row>
    <row r="44" spans="1:8">
      <c r="A44" s="1"/>
      <c r="B44" s="1"/>
      <c r="C44" s="1"/>
      <c r="D44" s="1"/>
      <c r="E44" s="1"/>
      <c r="F44" s="1"/>
      <c r="G44" s="1"/>
      <c r="H44" s="1"/>
    </row>
    <row r="45" spans="1:8">
      <c r="A45" s="1"/>
      <c r="B45" s="1" t="s">
        <v>1935</v>
      </c>
      <c r="C45" s="1">
        <f>2*PI()</f>
        <v>6.2831853071795862</v>
      </c>
      <c r="D45" s="1"/>
      <c r="E45" s="1"/>
      <c r="F45" s="1"/>
      <c r="G45" s="1"/>
      <c r="H45" s="1"/>
    </row>
    <row r="46" spans="1:8">
      <c r="A46" s="1"/>
      <c r="B46" s="1" t="s">
        <v>1936</v>
      </c>
      <c r="C46" s="1">
        <v>360</v>
      </c>
      <c r="D46" s="1" t="s">
        <v>1846</v>
      </c>
      <c r="E46" s="1"/>
      <c r="F46" s="1"/>
      <c r="G46" s="1"/>
      <c r="H46" s="1"/>
    </row>
    <row r="47" spans="1:8">
      <c r="A47" s="1"/>
      <c r="B47" s="1"/>
      <c r="C47" s="1"/>
      <c r="D47" s="1"/>
      <c r="E47" s="1"/>
      <c r="F47" s="1"/>
      <c r="G47" s="1"/>
      <c r="H47" s="1"/>
    </row>
    <row r="48" spans="1:8">
      <c r="A48" s="1"/>
      <c r="B48" s="1" t="s">
        <v>1870</v>
      </c>
      <c r="C48" s="681">
        <v>45</v>
      </c>
      <c r="D48" s="1" t="s">
        <v>1846</v>
      </c>
      <c r="E48" s="1"/>
      <c r="F48" s="1"/>
      <c r="G48" s="1"/>
      <c r="H48" s="1"/>
    </row>
    <row r="49" spans="1:8">
      <c r="A49" s="1"/>
      <c r="B49" s="1"/>
      <c r="C49" s="1"/>
      <c r="D49" s="1"/>
      <c r="E49" s="1"/>
      <c r="F49" s="1"/>
      <c r="G49" s="1"/>
      <c r="H49" s="1"/>
    </row>
    <row r="50" spans="1:8">
      <c r="A50" s="1"/>
      <c r="B50" s="1" t="s">
        <v>1937</v>
      </c>
      <c r="C50" s="1">
        <f>C48/C46</f>
        <v>0.125</v>
      </c>
      <c r="D50" s="1"/>
      <c r="E50" s="1"/>
      <c r="F50" s="1"/>
      <c r="G50" s="1"/>
      <c r="H50" s="1"/>
    </row>
    <row r="51" spans="1:8">
      <c r="A51" s="1"/>
      <c r="B51" s="1"/>
      <c r="C51" s="1"/>
      <c r="D51" s="1"/>
      <c r="E51" s="1"/>
      <c r="F51" s="1"/>
      <c r="G51" s="1"/>
      <c r="H51" s="1"/>
    </row>
    <row r="52" spans="1:8">
      <c r="A52" s="1"/>
      <c r="B52" s="1" t="s">
        <v>1938</v>
      </c>
      <c r="C52" s="1">
        <f>C45*C50</f>
        <v>0.78539816339744828</v>
      </c>
      <c r="D52" s="1" t="s">
        <v>1939</v>
      </c>
      <c r="E52" s="1"/>
      <c r="F52" s="1"/>
      <c r="G52" s="1"/>
      <c r="H52" s="1"/>
    </row>
    <row r="53" spans="1:8" ht="13.5" thickBot="1">
      <c r="A53" s="1"/>
      <c r="B53" s="728"/>
      <c r="C53" s="728"/>
      <c r="D53" s="728"/>
      <c r="E53" s="728"/>
      <c r="F53" s="1"/>
      <c r="G53" s="1"/>
      <c r="H53" s="1"/>
    </row>
    <row r="54" spans="1:8">
      <c r="A54" s="1"/>
      <c r="B54" s="1"/>
      <c r="C54" s="1"/>
      <c r="D54" s="1"/>
      <c r="E54" s="1"/>
      <c r="F54" s="1"/>
      <c r="G54" s="1"/>
      <c r="H54" s="1"/>
    </row>
    <row r="55" spans="1:8">
      <c r="A55" s="1"/>
      <c r="B55" s="1" t="s">
        <v>1938</v>
      </c>
      <c r="C55" s="1">
        <f>RADIANS(C48)</f>
        <v>0.78539816339744828</v>
      </c>
      <c r="D55" s="1" t="s">
        <v>1940</v>
      </c>
      <c r="E55" s="1"/>
      <c r="F55" s="1"/>
      <c r="G55" s="1"/>
      <c r="H55" s="1"/>
    </row>
    <row r="56" spans="1:8">
      <c r="A56" s="1"/>
      <c r="B56" s="1"/>
      <c r="C56" s="1"/>
      <c r="D56" s="1"/>
      <c r="E56" s="1"/>
      <c r="F56" s="1"/>
      <c r="G56" s="1"/>
      <c r="H56" s="1"/>
    </row>
    <row r="57" spans="1:8">
      <c r="A57" s="1"/>
      <c r="B57" s="1"/>
      <c r="C57" s="1"/>
      <c r="D57" s="1"/>
      <c r="E57" s="1"/>
      <c r="F57" s="1"/>
      <c r="G57" s="1"/>
      <c r="H57" s="1"/>
    </row>
    <row r="58" spans="1:8">
      <c r="A58" s="1"/>
      <c r="B58" s="1"/>
      <c r="C58" s="1"/>
      <c r="D58" s="1"/>
      <c r="E58" s="1"/>
      <c r="F58" s="1"/>
      <c r="G58" s="1"/>
      <c r="H58" s="1"/>
    </row>
    <row r="59" spans="1:8">
      <c r="A59" s="1"/>
      <c r="B59" s="2" t="s">
        <v>1941</v>
      </c>
      <c r="C59" s="1"/>
      <c r="D59" s="1"/>
      <c r="E59" s="1"/>
      <c r="F59" s="1"/>
      <c r="G59" s="1"/>
      <c r="H59" s="1"/>
    </row>
    <row r="60" spans="1:8">
      <c r="A60" s="1"/>
      <c r="B60" s="1"/>
      <c r="C60" s="1"/>
      <c r="D60" s="1"/>
      <c r="E60" s="1"/>
      <c r="F60" s="1"/>
      <c r="G60" s="1"/>
      <c r="H60" s="1"/>
    </row>
    <row r="61" spans="1:8">
      <c r="A61" s="1"/>
      <c r="B61" s="165" t="s">
        <v>1870</v>
      </c>
      <c r="C61" s="681">
        <v>40</v>
      </c>
      <c r="D61" s="1" t="s">
        <v>1846</v>
      </c>
      <c r="E61" s="1"/>
      <c r="F61" s="1"/>
      <c r="G61" s="1"/>
      <c r="H61" s="1"/>
    </row>
    <row r="62" spans="1:8">
      <c r="A62" s="1"/>
      <c r="B62" s="165"/>
      <c r="C62" s="1"/>
      <c r="D62" s="1"/>
      <c r="E62" s="1"/>
      <c r="F62" s="1"/>
      <c r="G62" s="1"/>
      <c r="H62" s="1"/>
    </row>
    <row r="63" spans="1:8">
      <c r="A63" s="1"/>
      <c r="B63" s="165" t="s">
        <v>1938</v>
      </c>
      <c r="C63" s="1">
        <f>RADIANS(C61)</f>
        <v>0.69813170079773179</v>
      </c>
      <c r="D63" s="1"/>
      <c r="E63" s="1"/>
      <c r="F63" s="1"/>
      <c r="G63" s="1"/>
      <c r="H63" s="1"/>
    </row>
    <row r="64" spans="1:8">
      <c r="A64" s="1"/>
      <c r="B64" s="165"/>
      <c r="C64" s="1"/>
      <c r="D64" s="1"/>
      <c r="E64" s="1"/>
      <c r="F64" s="1"/>
      <c r="G64" s="1"/>
      <c r="H64" s="1"/>
    </row>
    <row r="65" spans="1:8">
      <c r="A65" s="1"/>
      <c r="B65" s="165" t="s">
        <v>1901</v>
      </c>
      <c r="C65" s="1">
        <f>SIN(C63)</f>
        <v>0.64278760968653925</v>
      </c>
      <c r="D65" s="1"/>
      <c r="E65" s="1"/>
      <c r="F65" s="1"/>
      <c r="G65" s="1"/>
      <c r="H65" s="1"/>
    </row>
    <row r="66" spans="1:8">
      <c r="A66" s="1"/>
      <c r="B66" s="165" t="s">
        <v>1903</v>
      </c>
      <c r="C66" s="1">
        <f>COS(C63)</f>
        <v>0.76604444311897801</v>
      </c>
      <c r="D66" s="1"/>
      <c r="E66" s="1"/>
      <c r="F66" s="1"/>
      <c r="G66" s="1"/>
      <c r="H66" s="1"/>
    </row>
    <row r="67" spans="1:8">
      <c r="A67" s="1"/>
      <c r="B67" s="165" t="s">
        <v>1904</v>
      </c>
      <c r="C67" s="1">
        <f>TAN(C63)</f>
        <v>0.83909963117727993</v>
      </c>
      <c r="D67" s="1"/>
      <c r="E67" s="1"/>
      <c r="F67" s="1"/>
      <c r="G67" s="1"/>
      <c r="H67" s="1"/>
    </row>
    <row r="68" spans="1:8">
      <c r="A68" s="1"/>
      <c r="B68" s="165"/>
      <c r="C68" s="1"/>
      <c r="D68" s="1"/>
      <c r="E68" s="1"/>
      <c r="F68" s="1"/>
      <c r="G68" s="1"/>
      <c r="H68" s="1"/>
    </row>
    <row r="69" spans="1:8">
      <c r="A69" s="1"/>
      <c r="B69" s="165"/>
      <c r="C69" s="1"/>
      <c r="D69" s="1"/>
      <c r="E69" s="1"/>
      <c r="F69" s="1"/>
      <c r="G69" s="1"/>
      <c r="H69" s="1"/>
    </row>
    <row r="70" spans="1:8">
      <c r="A70" s="1"/>
      <c r="B70" s="165"/>
      <c r="C70" s="1"/>
      <c r="D70" s="1"/>
      <c r="E70" s="1"/>
      <c r="F70" s="1"/>
      <c r="G70" s="1"/>
      <c r="H70" s="1"/>
    </row>
    <row r="71" spans="1:8">
      <c r="A71" s="1"/>
      <c r="B71" s="211" t="s">
        <v>1942</v>
      </c>
      <c r="C71" s="1"/>
      <c r="D71" s="1"/>
      <c r="E71" s="1"/>
      <c r="F71" s="1"/>
      <c r="G71" s="1"/>
      <c r="H71" s="1"/>
    </row>
    <row r="72" spans="1:8">
      <c r="A72" s="1"/>
      <c r="B72" s="165"/>
      <c r="C72" s="1"/>
      <c r="D72" s="1"/>
      <c r="E72" s="1"/>
      <c r="F72" s="1"/>
      <c r="G72" s="1"/>
      <c r="H72" s="1"/>
    </row>
    <row r="73" spans="1:8">
      <c r="A73" s="1"/>
      <c r="B73" s="165" t="str">
        <f t="shared" ref="B73:C75" si="0">B65</f>
        <v>Sinus-Wert</v>
      </c>
      <c r="C73" s="681">
        <f t="shared" si="0"/>
        <v>0.64278760968653925</v>
      </c>
      <c r="D73" s="1"/>
      <c r="E73" s="1"/>
      <c r="F73" s="1"/>
      <c r="G73" s="1"/>
      <c r="H73" s="1"/>
    </row>
    <row r="74" spans="1:8">
      <c r="A74" s="1"/>
      <c r="B74" s="165" t="str">
        <f t="shared" si="0"/>
        <v>Cosinus-Wert</v>
      </c>
      <c r="C74" s="681">
        <f t="shared" si="0"/>
        <v>0.76604444311897801</v>
      </c>
      <c r="D74" s="1"/>
      <c r="E74" s="1"/>
      <c r="F74" s="1"/>
      <c r="G74" s="1"/>
      <c r="H74" s="1"/>
    </row>
    <row r="75" spans="1:8">
      <c r="A75" s="1"/>
      <c r="B75" s="165" t="str">
        <f t="shared" si="0"/>
        <v>Tangens-Wert</v>
      </c>
      <c r="C75" s="681">
        <f t="shared" si="0"/>
        <v>0.83909963117727993</v>
      </c>
      <c r="D75" s="1"/>
      <c r="E75" s="1"/>
      <c r="F75" s="1"/>
      <c r="G75" s="1"/>
      <c r="H75" s="1"/>
    </row>
    <row r="76" spans="1:8">
      <c r="A76" s="1"/>
      <c r="B76" s="165"/>
      <c r="C76" s="1"/>
      <c r="D76" s="1"/>
      <c r="E76" s="1"/>
      <c r="F76" s="1"/>
      <c r="G76" s="1"/>
      <c r="H76" s="1"/>
    </row>
    <row r="77" spans="1:8">
      <c r="A77" s="1"/>
      <c r="B77" s="165" t="s">
        <v>1943</v>
      </c>
      <c r="C77" s="1">
        <f>ASIN(C73)</f>
        <v>0.69813170079773168</v>
      </c>
      <c r="D77" s="1"/>
      <c r="E77" s="1" t="s">
        <v>1938</v>
      </c>
      <c r="F77" s="1"/>
      <c r="G77" s="1"/>
      <c r="H77" s="1"/>
    </row>
    <row r="78" spans="1:8">
      <c r="A78" s="1"/>
      <c r="B78" s="165" t="s">
        <v>1944</v>
      </c>
      <c r="C78" s="1">
        <f>ACOS(C74)</f>
        <v>0.6981317007977319</v>
      </c>
      <c r="D78" s="1"/>
      <c r="E78" s="1" t="s">
        <v>1938</v>
      </c>
      <c r="F78" s="1"/>
      <c r="G78" s="1"/>
      <c r="H78" s="1"/>
    </row>
    <row r="79" spans="1:8">
      <c r="A79" s="1"/>
      <c r="B79" s="165" t="s">
        <v>1945</v>
      </c>
      <c r="C79" s="1">
        <f>ATAN(C75)</f>
        <v>0.69813170079773179</v>
      </c>
      <c r="D79" s="1"/>
      <c r="E79" s="1" t="s">
        <v>1938</v>
      </c>
      <c r="F79" s="1"/>
      <c r="G79" s="1"/>
      <c r="H79" s="1"/>
    </row>
    <row r="80" spans="1:8">
      <c r="A80" s="1"/>
      <c r="B80" s="165"/>
      <c r="C80" s="1"/>
      <c r="D80" s="1"/>
      <c r="E80" s="1"/>
      <c r="F80" s="1"/>
      <c r="G80" s="1"/>
      <c r="H80" s="1"/>
    </row>
    <row r="81" spans="1:8">
      <c r="A81" s="1"/>
      <c r="B81" s="165" t="s">
        <v>1870</v>
      </c>
      <c r="C81" s="1">
        <f>DEGREES(C77)</f>
        <v>39.999999999999993</v>
      </c>
      <c r="D81" s="1" t="s">
        <v>1846</v>
      </c>
      <c r="E81" s="1"/>
      <c r="F81" s="1"/>
      <c r="G81" s="1"/>
      <c r="H81" s="1"/>
    </row>
    <row r="82" spans="1:8">
      <c r="A82" s="1"/>
      <c r="B82" s="1"/>
      <c r="C82" s="1"/>
      <c r="D82" s="1"/>
      <c r="E82" s="1"/>
      <c r="F82" s="1"/>
      <c r="G82" s="1"/>
      <c r="H82" s="1"/>
    </row>
    <row r="83" spans="1:8">
      <c r="A83" s="1"/>
      <c r="B83" s="1"/>
      <c r="C83" s="1"/>
      <c r="D83" s="1"/>
      <c r="E83" s="1"/>
      <c r="F83" s="1"/>
      <c r="G83" s="1"/>
      <c r="H83" s="1"/>
    </row>
  </sheetData>
  <pageMargins left="0.7" right="0.7" top="0.78740157499999996" bottom="0.78740157499999996"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5"/>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4189</v>
      </c>
      <c r="B2" s="1381" t="s">
        <v>4190</v>
      </c>
      <c r="C2" s="1382"/>
      <c r="D2" s="1382"/>
      <c r="E2" s="1382"/>
      <c r="F2" s="1382"/>
      <c r="G2" s="1382"/>
      <c r="H2" s="1383"/>
    </row>
    <row r="3" spans="1:8" ht="13.5" thickBot="1">
      <c r="B3" s="1386" t="s">
        <v>4191</v>
      </c>
      <c r="C3" s="1387"/>
      <c r="D3" s="1387"/>
      <c r="E3" s="1387"/>
      <c r="F3" s="1387"/>
      <c r="G3" s="1387"/>
      <c r="H3" s="1388"/>
    </row>
    <row r="5" spans="1:8">
      <c r="B5" s="818"/>
      <c r="C5" s="831" t="s">
        <v>3977</v>
      </c>
    </row>
    <row r="6" spans="1:8" ht="13.5" thickBot="1"/>
    <row r="7" spans="1:8">
      <c r="B7" s="1389" t="s">
        <v>3978</v>
      </c>
      <c r="C7" s="1390"/>
      <c r="D7" s="1390"/>
      <c r="E7" s="1391"/>
    </row>
    <row r="8" spans="1:8">
      <c r="B8" s="1392" t="s">
        <v>3045</v>
      </c>
      <c r="C8" s="1096"/>
      <c r="D8" s="1393">
        <v>120</v>
      </c>
      <c r="E8" s="1394" t="s">
        <v>212</v>
      </c>
    </row>
    <row r="9" spans="1:8">
      <c r="B9" s="1392" t="s">
        <v>1773</v>
      </c>
      <c r="C9" s="1096"/>
      <c r="D9" s="1393">
        <v>8</v>
      </c>
      <c r="E9" s="1394" t="s">
        <v>212</v>
      </c>
    </row>
    <row r="10" spans="1:8" ht="13.5" thickBot="1">
      <c r="B10" s="1395" t="s">
        <v>1959</v>
      </c>
      <c r="C10" s="1396"/>
      <c r="D10" s="1397">
        <v>248</v>
      </c>
      <c r="E10" s="1398" t="s">
        <v>212</v>
      </c>
    </row>
    <row r="11" spans="1:8" ht="13.5" thickBot="1"/>
    <row r="12" spans="1:8">
      <c r="B12" s="1389" t="s">
        <v>2486</v>
      </c>
      <c r="C12" s="1390"/>
      <c r="D12" s="1483">
        <v>30</v>
      </c>
      <c r="E12" s="1391"/>
      <c r="F12" s="831" t="s">
        <v>4192</v>
      </c>
    </row>
    <row r="13" spans="1:8" ht="13.5" thickBot="1">
      <c r="B13" s="1395"/>
      <c r="C13" s="1396"/>
      <c r="D13" s="1404">
        <v>3.3333333333333333E-2</v>
      </c>
      <c r="E13" s="1398"/>
      <c r="F13" s="831" t="s">
        <v>3982</v>
      </c>
    </row>
    <row r="14" spans="1:8" ht="13.5" thickBot="1"/>
    <row r="15" spans="1:8" ht="13.5" thickBot="1">
      <c r="B15" s="1405" t="s">
        <v>526</v>
      </c>
      <c r="C15" s="1406"/>
      <c r="D15" s="1455">
        <v>4</v>
      </c>
      <c r="E15" s="1408"/>
      <c r="F15" s="831" t="s">
        <v>4120</v>
      </c>
    </row>
  </sheetData>
  <pageMargins left="0.78740157499999996" right="0.78740157499999996" top="0.984251969" bottom="0.984251969" header="0.4921259845" footer="0.492125984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3"/>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4193</v>
      </c>
      <c r="B2" s="1381" t="s">
        <v>4194</v>
      </c>
      <c r="C2" s="1382"/>
      <c r="D2" s="1382"/>
      <c r="E2" s="1382"/>
      <c r="F2" s="1382"/>
      <c r="G2" s="1383"/>
    </row>
    <row r="3" spans="1:7" ht="13.5" thickBot="1">
      <c r="B3" s="1386" t="s">
        <v>4195</v>
      </c>
      <c r="C3" s="1387"/>
      <c r="D3" s="1387"/>
      <c r="E3" s="1387"/>
      <c r="F3" s="1387"/>
      <c r="G3" s="1388"/>
    </row>
    <row r="5" spans="1:7">
      <c r="B5" s="818"/>
      <c r="C5" s="831" t="s">
        <v>3977</v>
      </c>
    </row>
    <row r="6" spans="1:7" ht="13.5" thickBot="1"/>
    <row r="7" spans="1:7">
      <c r="B7" s="1389" t="s">
        <v>3978</v>
      </c>
      <c r="C7" s="1390"/>
      <c r="D7" s="1390"/>
      <c r="E7" s="1391"/>
    </row>
    <row r="8" spans="1:7">
      <c r="B8" s="1392" t="s">
        <v>2486</v>
      </c>
      <c r="C8" s="1096"/>
      <c r="D8" s="1489">
        <v>0.1</v>
      </c>
      <c r="E8" s="1394"/>
    </row>
    <row r="9" spans="1:7" ht="13.5" thickBot="1">
      <c r="B9" s="1395" t="s">
        <v>1959</v>
      </c>
      <c r="C9" s="1396"/>
      <c r="D9" s="1397">
        <v>220</v>
      </c>
      <c r="E9" s="1398" t="s">
        <v>212</v>
      </c>
    </row>
    <row r="10" spans="1:7" ht="13.5" thickBot="1"/>
    <row r="11" spans="1:7" ht="13.5" thickBot="1">
      <c r="B11" s="1405" t="s">
        <v>2663</v>
      </c>
      <c r="C11" s="1406"/>
      <c r="D11" s="1454">
        <v>11</v>
      </c>
      <c r="E11" s="1408"/>
      <c r="F11" s="831" t="s">
        <v>4071</v>
      </c>
    </row>
    <row r="12" spans="1:7" ht="13.5" thickBot="1"/>
    <row r="13" spans="1:7" ht="13.5" thickBot="1">
      <c r="B13" s="1405" t="s">
        <v>1773</v>
      </c>
      <c r="C13" s="1406"/>
      <c r="D13" s="1455">
        <v>20</v>
      </c>
      <c r="E13" s="1408"/>
      <c r="F13" s="831" t="s">
        <v>3983</v>
      </c>
    </row>
  </sheetData>
  <pageMargins left="0.78740157499999996" right="0.78740157499999996" top="0.984251969" bottom="0.984251969" header="0.4921259845" footer="0.4921259845"/>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6"/>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4196</v>
      </c>
      <c r="B2" s="1381" t="s">
        <v>4197</v>
      </c>
      <c r="C2" s="1382"/>
      <c r="D2" s="1382"/>
      <c r="E2" s="1382"/>
      <c r="F2" s="1382"/>
      <c r="G2" s="1382"/>
      <c r="H2" s="1383"/>
    </row>
    <row r="3" spans="1:8">
      <c r="B3" s="1384" t="s">
        <v>4198</v>
      </c>
      <c r="C3" s="829"/>
      <c r="D3" s="829"/>
      <c r="E3" s="829"/>
      <c r="F3" s="829"/>
      <c r="G3" s="829"/>
      <c r="H3" s="1385"/>
    </row>
    <row r="4" spans="1:8" ht="13.5" thickBot="1">
      <c r="B4" s="1386" t="s">
        <v>4199</v>
      </c>
      <c r="C4" s="1387"/>
      <c r="D4" s="1387"/>
      <c r="E4" s="1387"/>
      <c r="F4" s="1387"/>
      <c r="G4" s="1387"/>
      <c r="H4" s="1388"/>
    </row>
    <row r="6" spans="1:8">
      <c r="B6" s="818"/>
      <c r="C6" s="831" t="s">
        <v>3977</v>
      </c>
    </row>
    <row r="7" spans="1:8" ht="13.5" thickBot="1"/>
    <row r="8" spans="1:8">
      <c r="B8" s="1389" t="s">
        <v>3978</v>
      </c>
      <c r="C8" s="1390"/>
      <c r="D8" s="1390"/>
      <c r="E8" s="1391"/>
    </row>
    <row r="9" spans="1:8">
      <c r="B9" s="1392" t="s">
        <v>3045</v>
      </c>
      <c r="C9" s="1096"/>
      <c r="D9" s="1393">
        <v>400</v>
      </c>
      <c r="E9" s="1394" t="s">
        <v>212</v>
      </c>
    </row>
    <row r="10" spans="1:8">
      <c r="B10" s="1392" t="s">
        <v>1773</v>
      </c>
      <c r="C10" s="1096"/>
      <c r="D10" s="1393">
        <v>8</v>
      </c>
      <c r="E10" s="1394" t="s">
        <v>212</v>
      </c>
    </row>
    <row r="11" spans="1:8" ht="13.5" thickBot="1">
      <c r="B11" s="1395" t="s">
        <v>526</v>
      </c>
      <c r="C11" s="1396"/>
      <c r="D11" s="1397">
        <v>5</v>
      </c>
      <c r="E11" s="1398" t="s">
        <v>212</v>
      </c>
    </row>
    <row r="12" spans="1:8" ht="13.5" thickBot="1"/>
    <row r="13" spans="1:8" ht="13.5" thickBot="1">
      <c r="B13" s="1405" t="s">
        <v>2486</v>
      </c>
      <c r="C13" s="1406"/>
      <c r="D13" s="1490">
        <v>1.2500000000000001E-2</v>
      </c>
      <c r="E13" s="1408"/>
      <c r="F13" s="831" t="s">
        <v>3979</v>
      </c>
    </row>
    <row r="14" spans="1:8" ht="13.5" thickBot="1"/>
    <row r="15" spans="1:8" ht="13.5" thickBot="1">
      <c r="B15" s="1405" t="s">
        <v>1774</v>
      </c>
      <c r="C15" s="1406"/>
      <c r="D15" s="1455">
        <v>8.1</v>
      </c>
      <c r="E15" s="1408" t="s">
        <v>212</v>
      </c>
      <c r="F15" s="831" t="s">
        <v>4055</v>
      </c>
    </row>
    <row r="16" spans="1:8" ht="13.5" thickBot="1"/>
    <row r="17" spans="2:8" ht="13.5" thickBot="1">
      <c r="B17" s="1405" t="s">
        <v>1959</v>
      </c>
      <c r="C17" s="1406"/>
      <c r="D17" s="1445">
        <v>648</v>
      </c>
      <c r="E17" s="1408" t="s">
        <v>212</v>
      </c>
      <c r="F17" s="831" t="s">
        <v>4200</v>
      </c>
    </row>
    <row r="24" spans="2:8">
      <c r="D24" s="818"/>
      <c r="E24" s="831" t="s">
        <v>3977</v>
      </c>
    </row>
    <row r="25" spans="2:8" ht="13.5" thickBot="1"/>
    <row r="26" spans="2:8">
      <c r="D26" s="1389"/>
      <c r="E26" s="1472"/>
      <c r="F26" s="1390"/>
      <c r="G26" s="1391"/>
    </row>
    <row r="27" spans="2:8">
      <c r="D27" s="1392"/>
      <c r="E27" s="1473" t="s">
        <v>2594</v>
      </c>
      <c r="F27" s="1393">
        <v>400</v>
      </c>
      <c r="G27" s="1394" t="s">
        <v>212</v>
      </c>
    </row>
    <row r="28" spans="2:8">
      <c r="D28" s="1392"/>
      <c r="E28" s="1473" t="s">
        <v>1588</v>
      </c>
      <c r="F28" s="1393">
        <v>8</v>
      </c>
      <c r="G28" s="1394" t="s">
        <v>212</v>
      </c>
    </row>
    <row r="29" spans="2:8" ht="13.5" thickBot="1">
      <c r="D29" s="1395"/>
      <c r="E29" s="1400" t="s">
        <v>2593</v>
      </c>
      <c r="F29" s="1397">
        <v>5</v>
      </c>
      <c r="G29" s="1398" t="s">
        <v>212</v>
      </c>
    </row>
    <row r="31" spans="2:8">
      <c r="D31" s="1491"/>
      <c r="E31" s="1492" t="s">
        <v>2595</v>
      </c>
      <c r="F31" s="1493">
        <v>1.2500000000000001E-2</v>
      </c>
      <c r="G31" s="1494"/>
      <c r="H31" s="831" t="s">
        <v>3979</v>
      </c>
    </row>
    <row r="32" spans="2:8">
      <c r="D32" s="1491"/>
      <c r="E32" s="1495" t="s">
        <v>2721</v>
      </c>
      <c r="F32" s="1491">
        <v>80</v>
      </c>
      <c r="G32" s="1491"/>
    </row>
    <row r="33" spans="4:11">
      <c r="D33" s="1491"/>
      <c r="E33" s="1492" t="s">
        <v>2663</v>
      </c>
      <c r="F33" s="1496">
        <v>81</v>
      </c>
      <c r="G33" s="1491"/>
    </row>
    <row r="34" spans="4:11">
      <c r="D34" s="1491"/>
      <c r="E34" s="1495" t="s">
        <v>2536</v>
      </c>
      <c r="F34" s="1491">
        <v>648</v>
      </c>
      <c r="G34" s="1491" t="s">
        <v>212</v>
      </c>
      <c r="H34" s="831" t="s">
        <v>4200</v>
      </c>
      <c r="K34" s="831">
        <v>648</v>
      </c>
    </row>
    <row r="35" spans="4:11">
      <c r="D35" s="1491"/>
      <c r="E35" s="1491" t="s">
        <v>2981</v>
      </c>
      <c r="F35" s="1497">
        <v>1.0125</v>
      </c>
      <c r="G35" s="1491"/>
    </row>
    <row r="36" spans="4:11">
      <c r="D36" s="1491"/>
      <c r="E36" s="1495" t="s">
        <v>2537</v>
      </c>
      <c r="F36" s="1491">
        <v>8.1</v>
      </c>
      <c r="G36" s="1491" t="s">
        <v>212</v>
      </c>
      <c r="H36" s="831" t="s">
        <v>4055</v>
      </c>
      <c r="K36" s="831">
        <v>8.1</v>
      </c>
    </row>
  </sheetData>
  <pageMargins left="0.78740157499999996" right="0.78740157499999996" top="0.984251969" bottom="0.984251969" header="0.4921259845" footer="0.492125984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workbookViewId="0">
      <selection activeCell="J26" sqref="J26"/>
    </sheetView>
  </sheetViews>
  <sheetFormatPr baseColWidth="10" defaultRowHeight="12.75"/>
  <cols>
    <col min="1" max="1" width="11.42578125" style="831"/>
    <col min="2" max="2" width="30.5703125" style="831" customWidth="1"/>
    <col min="3" max="3" width="2.28515625" style="831" customWidth="1"/>
    <col min="4" max="5" width="11.42578125" style="831"/>
    <col min="6" max="6" width="20.140625" style="831" customWidth="1"/>
    <col min="7" max="257" width="11.42578125" style="831"/>
    <col min="258" max="258" width="30.5703125" style="831" customWidth="1"/>
    <col min="259" max="259" width="2.28515625" style="831" customWidth="1"/>
    <col min="260" max="261" width="11.42578125" style="831"/>
    <col min="262" max="262" width="20.140625" style="831" customWidth="1"/>
    <col min="263" max="513" width="11.42578125" style="831"/>
    <col min="514" max="514" width="30.5703125" style="831" customWidth="1"/>
    <col min="515" max="515" width="2.28515625" style="831" customWidth="1"/>
    <col min="516" max="517" width="11.42578125" style="831"/>
    <col min="518" max="518" width="20.140625" style="831" customWidth="1"/>
    <col min="519" max="769" width="11.42578125" style="831"/>
    <col min="770" max="770" width="30.5703125" style="831" customWidth="1"/>
    <col min="771" max="771" width="2.28515625" style="831" customWidth="1"/>
    <col min="772" max="773" width="11.42578125" style="831"/>
    <col min="774" max="774" width="20.140625" style="831" customWidth="1"/>
    <col min="775" max="1025" width="11.42578125" style="831"/>
    <col min="1026" max="1026" width="30.5703125" style="831" customWidth="1"/>
    <col min="1027" max="1027" width="2.28515625" style="831" customWidth="1"/>
    <col min="1028" max="1029" width="11.42578125" style="831"/>
    <col min="1030" max="1030" width="20.140625" style="831" customWidth="1"/>
    <col min="1031" max="1281" width="11.42578125" style="831"/>
    <col min="1282" max="1282" width="30.5703125" style="831" customWidth="1"/>
    <col min="1283" max="1283" width="2.28515625" style="831" customWidth="1"/>
    <col min="1284" max="1285" width="11.42578125" style="831"/>
    <col min="1286" max="1286" width="20.140625" style="831" customWidth="1"/>
    <col min="1287" max="1537" width="11.42578125" style="831"/>
    <col min="1538" max="1538" width="30.5703125" style="831" customWidth="1"/>
    <col min="1539" max="1539" width="2.28515625" style="831" customWidth="1"/>
    <col min="1540" max="1541" width="11.42578125" style="831"/>
    <col min="1542" max="1542" width="20.140625" style="831" customWidth="1"/>
    <col min="1543" max="1793" width="11.42578125" style="831"/>
    <col min="1794" max="1794" width="30.5703125" style="831" customWidth="1"/>
    <col min="1795" max="1795" width="2.28515625" style="831" customWidth="1"/>
    <col min="1796" max="1797" width="11.42578125" style="831"/>
    <col min="1798" max="1798" width="20.140625" style="831" customWidth="1"/>
    <col min="1799" max="2049" width="11.42578125" style="831"/>
    <col min="2050" max="2050" width="30.5703125" style="831" customWidth="1"/>
    <col min="2051" max="2051" width="2.28515625" style="831" customWidth="1"/>
    <col min="2052" max="2053" width="11.42578125" style="831"/>
    <col min="2054" max="2054" width="20.140625" style="831" customWidth="1"/>
    <col min="2055" max="2305" width="11.42578125" style="831"/>
    <col min="2306" max="2306" width="30.5703125" style="831" customWidth="1"/>
    <col min="2307" max="2307" width="2.28515625" style="831" customWidth="1"/>
    <col min="2308" max="2309" width="11.42578125" style="831"/>
    <col min="2310" max="2310" width="20.140625" style="831" customWidth="1"/>
    <col min="2311" max="2561" width="11.42578125" style="831"/>
    <col min="2562" max="2562" width="30.5703125" style="831" customWidth="1"/>
    <col min="2563" max="2563" width="2.28515625" style="831" customWidth="1"/>
    <col min="2564" max="2565" width="11.42578125" style="831"/>
    <col min="2566" max="2566" width="20.140625" style="831" customWidth="1"/>
    <col min="2567" max="2817" width="11.42578125" style="831"/>
    <col min="2818" max="2818" width="30.5703125" style="831" customWidth="1"/>
    <col min="2819" max="2819" width="2.28515625" style="831" customWidth="1"/>
    <col min="2820" max="2821" width="11.42578125" style="831"/>
    <col min="2822" max="2822" width="20.140625" style="831" customWidth="1"/>
    <col min="2823" max="3073" width="11.42578125" style="831"/>
    <col min="3074" max="3074" width="30.5703125" style="831" customWidth="1"/>
    <col min="3075" max="3075" width="2.28515625" style="831" customWidth="1"/>
    <col min="3076" max="3077" width="11.42578125" style="831"/>
    <col min="3078" max="3078" width="20.140625" style="831" customWidth="1"/>
    <col min="3079" max="3329" width="11.42578125" style="831"/>
    <col min="3330" max="3330" width="30.5703125" style="831" customWidth="1"/>
    <col min="3331" max="3331" width="2.28515625" style="831" customWidth="1"/>
    <col min="3332" max="3333" width="11.42578125" style="831"/>
    <col min="3334" max="3334" width="20.140625" style="831" customWidth="1"/>
    <col min="3335" max="3585" width="11.42578125" style="831"/>
    <col min="3586" max="3586" width="30.5703125" style="831" customWidth="1"/>
    <col min="3587" max="3587" width="2.28515625" style="831" customWidth="1"/>
    <col min="3588" max="3589" width="11.42578125" style="831"/>
    <col min="3590" max="3590" width="20.140625" style="831" customWidth="1"/>
    <col min="3591" max="3841" width="11.42578125" style="831"/>
    <col min="3842" max="3842" width="30.5703125" style="831" customWidth="1"/>
    <col min="3843" max="3843" width="2.28515625" style="831" customWidth="1"/>
    <col min="3844" max="3845" width="11.42578125" style="831"/>
    <col min="3846" max="3846" width="20.140625" style="831" customWidth="1"/>
    <col min="3847" max="4097" width="11.42578125" style="831"/>
    <col min="4098" max="4098" width="30.5703125" style="831" customWidth="1"/>
    <col min="4099" max="4099" width="2.28515625" style="831" customWidth="1"/>
    <col min="4100" max="4101" width="11.42578125" style="831"/>
    <col min="4102" max="4102" width="20.140625" style="831" customWidth="1"/>
    <col min="4103" max="4353" width="11.42578125" style="831"/>
    <col min="4354" max="4354" width="30.5703125" style="831" customWidth="1"/>
    <col min="4355" max="4355" width="2.28515625" style="831" customWidth="1"/>
    <col min="4356" max="4357" width="11.42578125" style="831"/>
    <col min="4358" max="4358" width="20.140625" style="831" customWidth="1"/>
    <col min="4359" max="4609" width="11.42578125" style="831"/>
    <col min="4610" max="4610" width="30.5703125" style="831" customWidth="1"/>
    <col min="4611" max="4611" width="2.28515625" style="831" customWidth="1"/>
    <col min="4612" max="4613" width="11.42578125" style="831"/>
    <col min="4614" max="4614" width="20.140625" style="831" customWidth="1"/>
    <col min="4615" max="4865" width="11.42578125" style="831"/>
    <col min="4866" max="4866" width="30.5703125" style="831" customWidth="1"/>
    <col min="4867" max="4867" width="2.28515625" style="831" customWidth="1"/>
    <col min="4868" max="4869" width="11.42578125" style="831"/>
    <col min="4870" max="4870" width="20.140625" style="831" customWidth="1"/>
    <col min="4871" max="5121" width="11.42578125" style="831"/>
    <col min="5122" max="5122" width="30.5703125" style="831" customWidth="1"/>
    <col min="5123" max="5123" width="2.28515625" style="831" customWidth="1"/>
    <col min="5124" max="5125" width="11.42578125" style="831"/>
    <col min="5126" max="5126" width="20.140625" style="831" customWidth="1"/>
    <col min="5127" max="5377" width="11.42578125" style="831"/>
    <col min="5378" max="5378" width="30.5703125" style="831" customWidth="1"/>
    <col min="5379" max="5379" width="2.28515625" style="831" customWidth="1"/>
    <col min="5380" max="5381" width="11.42578125" style="831"/>
    <col min="5382" max="5382" width="20.140625" style="831" customWidth="1"/>
    <col min="5383" max="5633" width="11.42578125" style="831"/>
    <col min="5634" max="5634" width="30.5703125" style="831" customWidth="1"/>
    <col min="5635" max="5635" width="2.28515625" style="831" customWidth="1"/>
    <col min="5636" max="5637" width="11.42578125" style="831"/>
    <col min="5638" max="5638" width="20.140625" style="831" customWidth="1"/>
    <col min="5639" max="5889" width="11.42578125" style="831"/>
    <col min="5890" max="5890" width="30.5703125" style="831" customWidth="1"/>
    <col min="5891" max="5891" width="2.28515625" style="831" customWidth="1"/>
    <col min="5892" max="5893" width="11.42578125" style="831"/>
    <col min="5894" max="5894" width="20.140625" style="831" customWidth="1"/>
    <col min="5895" max="6145" width="11.42578125" style="831"/>
    <col min="6146" max="6146" width="30.5703125" style="831" customWidth="1"/>
    <col min="6147" max="6147" width="2.28515625" style="831" customWidth="1"/>
    <col min="6148" max="6149" width="11.42578125" style="831"/>
    <col min="6150" max="6150" width="20.140625" style="831" customWidth="1"/>
    <col min="6151" max="6401" width="11.42578125" style="831"/>
    <col min="6402" max="6402" width="30.5703125" style="831" customWidth="1"/>
    <col min="6403" max="6403" width="2.28515625" style="831" customWidth="1"/>
    <col min="6404" max="6405" width="11.42578125" style="831"/>
    <col min="6406" max="6406" width="20.140625" style="831" customWidth="1"/>
    <col min="6407" max="6657" width="11.42578125" style="831"/>
    <col min="6658" max="6658" width="30.5703125" style="831" customWidth="1"/>
    <col min="6659" max="6659" width="2.28515625" style="831" customWidth="1"/>
    <col min="6660" max="6661" width="11.42578125" style="831"/>
    <col min="6662" max="6662" width="20.140625" style="831" customWidth="1"/>
    <col min="6663" max="6913" width="11.42578125" style="831"/>
    <col min="6914" max="6914" width="30.5703125" style="831" customWidth="1"/>
    <col min="6915" max="6915" width="2.28515625" style="831" customWidth="1"/>
    <col min="6916" max="6917" width="11.42578125" style="831"/>
    <col min="6918" max="6918" width="20.140625" style="831" customWidth="1"/>
    <col min="6919" max="7169" width="11.42578125" style="831"/>
    <col min="7170" max="7170" width="30.5703125" style="831" customWidth="1"/>
    <col min="7171" max="7171" width="2.28515625" style="831" customWidth="1"/>
    <col min="7172" max="7173" width="11.42578125" style="831"/>
    <col min="7174" max="7174" width="20.140625" style="831" customWidth="1"/>
    <col min="7175" max="7425" width="11.42578125" style="831"/>
    <col min="7426" max="7426" width="30.5703125" style="831" customWidth="1"/>
    <col min="7427" max="7427" width="2.28515625" style="831" customWidth="1"/>
    <col min="7428" max="7429" width="11.42578125" style="831"/>
    <col min="7430" max="7430" width="20.140625" style="831" customWidth="1"/>
    <col min="7431" max="7681" width="11.42578125" style="831"/>
    <col min="7682" max="7682" width="30.5703125" style="831" customWidth="1"/>
    <col min="7683" max="7683" width="2.28515625" style="831" customWidth="1"/>
    <col min="7684" max="7685" width="11.42578125" style="831"/>
    <col min="7686" max="7686" width="20.140625" style="831" customWidth="1"/>
    <col min="7687" max="7937" width="11.42578125" style="831"/>
    <col min="7938" max="7938" width="30.5703125" style="831" customWidth="1"/>
    <col min="7939" max="7939" width="2.28515625" style="831" customWidth="1"/>
    <col min="7940" max="7941" width="11.42578125" style="831"/>
    <col min="7942" max="7942" width="20.140625" style="831" customWidth="1"/>
    <col min="7943" max="8193" width="11.42578125" style="831"/>
    <col min="8194" max="8194" width="30.5703125" style="831" customWidth="1"/>
    <col min="8195" max="8195" width="2.28515625" style="831" customWidth="1"/>
    <col min="8196" max="8197" width="11.42578125" style="831"/>
    <col min="8198" max="8198" width="20.140625" style="831" customWidth="1"/>
    <col min="8199" max="8449" width="11.42578125" style="831"/>
    <col min="8450" max="8450" width="30.5703125" style="831" customWidth="1"/>
    <col min="8451" max="8451" width="2.28515625" style="831" customWidth="1"/>
    <col min="8452" max="8453" width="11.42578125" style="831"/>
    <col min="8454" max="8454" width="20.140625" style="831" customWidth="1"/>
    <col min="8455" max="8705" width="11.42578125" style="831"/>
    <col min="8706" max="8706" width="30.5703125" style="831" customWidth="1"/>
    <col min="8707" max="8707" width="2.28515625" style="831" customWidth="1"/>
    <col min="8708" max="8709" width="11.42578125" style="831"/>
    <col min="8710" max="8710" width="20.140625" style="831" customWidth="1"/>
    <col min="8711" max="8961" width="11.42578125" style="831"/>
    <col min="8962" max="8962" width="30.5703125" style="831" customWidth="1"/>
    <col min="8963" max="8963" width="2.28515625" style="831" customWidth="1"/>
    <col min="8964" max="8965" width="11.42578125" style="831"/>
    <col min="8966" max="8966" width="20.140625" style="831" customWidth="1"/>
    <col min="8967" max="9217" width="11.42578125" style="831"/>
    <col min="9218" max="9218" width="30.5703125" style="831" customWidth="1"/>
    <col min="9219" max="9219" width="2.28515625" style="831" customWidth="1"/>
    <col min="9220" max="9221" width="11.42578125" style="831"/>
    <col min="9222" max="9222" width="20.140625" style="831" customWidth="1"/>
    <col min="9223" max="9473" width="11.42578125" style="831"/>
    <col min="9474" max="9474" width="30.5703125" style="831" customWidth="1"/>
    <col min="9475" max="9475" width="2.28515625" style="831" customWidth="1"/>
    <col min="9476" max="9477" width="11.42578125" style="831"/>
    <col min="9478" max="9478" width="20.140625" style="831" customWidth="1"/>
    <col min="9479" max="9729" width="11.42578125" style="831"/>
    <col min="9730" max="9730" width="30.5703125" style="831" customWidth="1"/>
    <col min="9731" max="9731" width="2.28515625" style="831" customWidth="1"/>
    <col min="9732" max="9733" width="11.42578125" style="831"/>
    <col min="9734" max="9734" width="20.140625" style="831" customWidth="1"/>
    <col min="9735" max="9985" width="11.42578125" style="831"/>
    <col min="9986" max="9986" width="30.5703125" style="831" customWidth="1"/>
    <col min="9987" max="9987" width="2.28515625" style="831" customWidth="1"/>
    <col min="9988" max="9989" width="11.42578125" style="831"/>
    <col min="9990" max="9990" width="20.140625" style="831" customWidth="1"/>
    <col min="9991" max="10241" width="11.42578125" style="831"/>
    <col min="10242" max="10242" width="30.5703125" style="831" customWidth="1"/>
    <col min="10243" max="10243" width="2.28515625" style="831" customWidth="1"/>
    <col min="10244" max="10245" width="11.42578125" style="831"/>
    <col min="10246" max="10246" width="20.140625" style="831" customWidth="1"/>
    <col min="10247" max="10497" width="11.42578125" style="831"/>
    <col min="10498" max="10498" width="30.5703125" style="831" customWidth="1"/>
    <col min="10499" max="10499" width="2.28515625" style="831" customWidth="1"/>
    <col min="10500" max="10501" width="11.42578125" style="831"/>
    <col min="10502" max="10502" width="20.140625" style="831" customWidth="1"/>
    <col min="10503" max="10753" width="11.42578125" style="831"/>
    <col min="10754" max="10754" width="30.5703125" style="831" customWidth="1"/>
    <col min="10755" max="10755" width="2.28515625" style="831" customWidth="1"/>
    <col min="10756" max="10757" width="11.42578125" style="831"/>
    <col min="10758" max="10758" width="20.140625" style="831" customWidth="1"/>
    <col min="10759" max="11009" width="11.42578125" style="831"/>
    <col min="11010" max="11010" width="30.5703125" style="831" customWidth="1"/>
    <col min="11011" max="11011" width="2.28515625" style="831" customWidth="1"/>
    <col min="11012" max="11013" width="11.42578125" style="831"/>
    <col min="11014" max="11014" width="20.140625" style="831" customWidth="1"/>
    <col min="11015" max="11265" width="11.42578125" style="831"/>
    <col min="11266" max="11266" width="30.5703125" style="831" customWidth="1"/>
    <col min="11267" max="11267" width="2.28515625" style="831" customWidth="1"/>
    <col min="11268" max="11269" width="11.42578125" style="831"/>
    <col min="11270" max="11270" width="20.140625" style="831" customWidth="1"/>
    <col min="11271" max="11521" width="11.42578125" style="831"/>
    <col min="11522" max="11522" width="30.5703125" style="831" customWidth="1"/>
    <col min="11523" max="11523" width="2.28515625" style="831" customWidth="1"/>
    <col min="11524" max="11525" width="11.42578125" style="831"/>
    <col min="11526" max="11526" width="20.140625" style="831" customWidth="1"/>
    <col min="11527" max="11777" width="11.42578125" style="831"/>
    <col min="11778" max="11778" width="30.5703125" style="831" customWidth="1"/>
    <col min="11779" max="11779" width="2.28515625" style="831" customWidth="1"/>
    <col min="11780" max="11781" width="11.42578125" style="831"/>
    <col min="11782" max="11782" width="20.140625" style="831" customWidth="1"/>
    <col min="11783" max="12033" width="11.42578125" style="831"/>
    <col min="12034" max="12034" width="30.5703125" style="831" customWidth="1"/>
    <col min="12035" max="12035" width="2.28515625" style="831" customWidth="1"/>
    <col min="12036" max="12037" width="11.42578125" style="831"/>
    <col min="12038" max="12038" width="20.140625" style="831" customWidth="1"/>
    <col min="12039" max="12289" width="11.42578125" style="831"/>
    <col min="12290" max="12290" width="30.5703125" style="831" customWidth="1"/>
    <col min="12291" max="12291" width="2.28515625" style="831" customWidth="1"/>
    <col min="12292" max="12293" width="11.42578125" style="831"/>
    <col min="12294" max="12294" width="20.140625" style="831" customWidth="1"/>
    <col min="12295" max="12545" width="11.42578125" style="831"/>
    <col min="12546" max="12546" width="30.5703125" style="831" customWidth="1"/>
    <col min="12547" max="12547" width="2.28515625" style="831" customWidth="1"/>
    <col min="12548" max="12549" width="11.42578125" style="831"/>
    <col min="12550" max="12550" width="20.140625" style="831" customWidth="1"/>
    <col min="12551" max="12801" width="11.42578125" style="831"/>
    <col min="12802" max="12802" width="30.5703125" style="831" customWidth="1"/>
    <col min="12803" max="12803" width="2.28515625" style="831" customWidth="1"/>
    <col min="12804" max="12805" width="11.42578125" style="831"/>
    <col min="12806" max="12806" width="20.140625" style="831" customWidth="1"/>
    <col min="12807" max="13057" width="11.42578125" style="831"/>
    <col min="13058" max="13058" width="30.5703125" style="831" customWidth="1"/>
    <col min="13059" max="13059" width="2.28515625" style="831" customWidth="1"/>
    <col min="13060" max="13061" width="11.42578125" style="831"/>
    <col min="13062" max="13062" width="20.140625" style="831" customWidth="1"/>
    <col min="13063" max="13313" width="11.42578125" style="831"/>
    <col min="13314" max="13314" width="30.5703125" style="831" customWidth="1"/>
    <col min="13315" max="13315" width="2.28515625" style="831" customWidth="1"/>
    <col min="13316" max="13317" width="11.42578125" style="831"/>
    <col min="13318" max="13318" width="20.140625" style="831" customWidth="1"/>
    <col min="13319" max="13569" width="11.42578125" style="831"/>
    <col min="13570" max="13570" width="30.5703125" style="831" customWidth="1"/>
    <col min="13571" max="13571" width="2.28515625" style="831" customWidth="1"/>
    <col min="13572" max="13573" width="11.42578125" style="831"/>
    <col min="13574" max="13574" width="20.140625" style="831" customWidth="1"/>
    <col min="13575" max="13825" width="11.42578125" style="831"/>
    <col min="13826" max="13826" width="30.5703125" style="831" customWidth="1"/>
    <col min="13827" max="13827" width="2.28515625" style="831" customWidth="1"/>
    <col min="13828" max="13829" width="11.42578125" style="831"/>
    <col min="13830" max="13830" width="20.140625" style="831" customWidth="1"/>
    <col min="13831" max="14081" width="11.42578125" style="831"/>
    <col min="14082" max="14082" width="30.5703125" style="831" customWidth="1"/>
    <col min="14083" max="14083" width="2.28515625" style="831" customWidth="1"/>
    <col min="14084" max="14085" width="11.42578125" style="831"/>
    <col min="14086" max="14086" width="20.140625" style="831" customWidth="1"/>
    <col min="14087" max="14337" width="11.42578125" style="831"/>
    <col min="14338" max="14338" width="30.5703125" style="831" customWidth="1"/>
    <col min="14339" max="14339" width="2.28515625" style="831" customWidth="1"/>
    <col min="14340" max="14341" width="11.42578125" style="831"/>
    <col min="14342" max="14342" width="20.140625" style="831" customWidth="1"/>
    <col min="14343" max="14593" width="11.42578125" style="831"/>
    <col min="14594" max="14594" width="30.5703125" style="831" customWidth="1"/>
    <col min="14595" max="14595" width="2.28515625" style="831" customWidth="1"/>
    <col min="14596" max="14597" width="11.42578125" style="831"/>
    <col min="14598" max="14598" width="20.140625" style="831" customWidth="1"/>
    <col min="14599" max="14849" width="11.42578125" style="831"/>
    <col min="14850" max="14850" width="30.5703125" style="831" customWidth="1"/>
    <col min="14851" max="14851" width="2.28515625" style="831" customWidth="1"/>
    <col min="14852" max="14853" width="11.42578125" style="831"/>
    <col min="14854" max="14854" width="20.140625" style="831" customWidth="1"/>
    <col min="14855" max="15105" width="11.42578125" style="831"/>
    <col min="15106" max="15106" width="30.5703125" style="831" customWidth="1"/>
    <col min="15107" max="15107" width="2.28515625" style="831" customWidth="1"/>
    <col min="15108" max="15109" width="11.42578125" style="831"/>
    <col min="15110" max="15110" width="20.140625" style="831" customWidth="1"/>
    <col min="15111" max="15361" width="11.42578125" style="831"/>
    <col min="15362" max="15362" width="30.5703125" style="831" customWidth="1"/>
    <col min="15363" max="15363" width="2.28515625" style="831" customWidth="1"/>
    <col min="15364" max="15365" width="11.42578125" style="831"/>
    <col min="15366" max="15366" width="20.140625" style="831" customWidth="1"/>
    <col min="15367" max="15617" width="11.42578125" style="831"/>
    <col min="15618" max="15618" width="30.5703125" style="831" customWidth="1"/>
    <col min="15619" max="15619" width="2.28515625" style="831" customWidth="1"/>
    <col min="15620" max="15621" width="11.42578125" style="831"/>
    <col min="15622" max="15622" width="20.140625" style="831" customWidth="1"/>
    <col min="15623" max="15873" width="11.42578125" style="831"/>
    <col min="15874" max="15874" width="30.5703125" style="831" customWidth="1"/>
    <col min="15875" max="15875" width="2.28515625" style="831" customWidth="1"/>
    <col min="15876" max="15877" width="11.42578125" style="831"/>
    <col min="15878" max="15878" width="20.140625" style="831" customWidth="1"/>
    <col min="15879" max="16129" width="11.42578125" style="831"/>
    <col min="16130" max="16130" width="30.5703125" style="831" customWidth="1"/>
    <col min="16131" max="16131" width="2.28515625" style="831" customWidth="1"/>
    <col min="16132" max="16133" width="11.42578125" style="831"/>
    <col min="16134" max="16134" width="20.140625" style="831" customWidth="1"/>
    <col min="16135" max="16384" width="11.42578125" style="831"/>
  </cols>
  <sheetData>
    <row r="1" spans="1:8" ht="13.5" thickBot="1"/>
    <row r="2" spans="1:8">
      <c r="A2" s="963" t="s">
        <v>4201</v>
      </c>
      <c r="B2" s="1381" t="s">
        <v>4202</v>
      </c>
      <c r="C2" s="1382"/>
      <c r="D2" s="1382"/>
      <c r="E2" s="1382"/>
      <c r="F2" s="1382"/>
      <c r="G2" s="1382"/>
      <c r="H2" s="1383"/>
    </row>
    <row r="3" spans="1:8">
      <c r="B3" s="1384" t="s">
        <v>4203</v>
      </c>
      <c r="C3" s="829"/>
      <c r="D3" s="829"/>
      <c r="E3" s="829"/>
      <c r="F3" s="829"/>
      <c r="G3" s="829"/>
      <c r="H3" s="1385"/>
    </row>
    <row r="4" spans="1:8">
      <c r="B4" s="1384" t="s">
        <v>4204</v>
      </c>
      <c r="C4" s="829"/>
      <c r="D4" s="829"/>
      <c r="E4" s="829"/>
      <c r="F4" s="829"/>
      <c r="G4" s="829"/>
      <c r="H4" s="1385"/>
    </row>
    <row r="5" spans="1:8" ht="13.5" thickBot="1">
      <c r="B5" s="1386" t="s">
        <v>4205</v>
      </c>
      <c r="C5" s="1387"/>
      <c r="D5" s="1387"/>
      <c r="E5" s="1387"/>
      <c r="F5" s="1387"/>
      <c r="G5" s="1387"/>
      <c r="H5" s="1388"/>
    </row>
    <row r="7" spans="1:8">
      <c r="B7" s="818"/>
      <c r="C7" s="831" t="s">
        <v>3977</v>
      </c>
    </row>
    <row r="8" spans="1:8" ht="13.5" thickBot="1"/>
    <row r="9" spans="1:8">
      <c r="B9" s="1389" t="s">
        <v>3978</v>
      </c>
      <c r="C9" s="1390"/>
      <c r="D9" s="1390"/>
      <c r="E9" s="1391"/>
    </row>
    <row r="10" spans="1:8">
      <c r="B10" s="1392" t="s">
        <v>3045</v>
      </c>
      <c r="C10" s="1096"/>
      <c r="D10" s="1393">
        <v>700</v>
      </c>
      <c r="E10" s="1394" t="s">
        <v>212</v>
      </c>
    </row>
    <row r="11" spans="1:8">
      <c r="B11" s="1392" t="s">
        <v>4000</v>
      </c>
      <c r="C11" s="1096"/>
      <c r="D11" s="1393">
        <v>800</v>
      </c>
      <c r="E11" s="1394" t="s">
        <v>212</v>
      </c>
    </row>
    <row r="12" spans="1:8" ht="13.5" thickBot="1">
      <c r="B12" s="1457" t="s">
        <v>1773</v>
      </c>
      <c r="C12" s="1458"/>
      <c r="D12" s="1459">
        <v>1.5</v>
      </c>
      <c r="E12" s="1460" t="s">
        <v>212</v>
      </c>
    </row>
    <row r="13" spans="1:8" ht="13.5" thickTop="1">
      <c r="B13" s="1392" t="s">
        <v>318</v>
      </c>
      <c r="C13" s="1096"/>
      <c r="D13" s="1393">
        <v>0.7</v>
      </c>
      <c r="E13" s="1394" t="s">
        <v>212</v>
      </c>
    </row>
    <row r="14" spans="1:8" ht="13.5" thickBot="1">
      <c r="B14" s="1395" t="s">
        <v>317</v>
      </c>
      <c r="C14" s="1396"/>
      <c r="D14" s="1397">
        <v>1</v>
      </c>
      <c r="E14" s="1398" t="s">
        <v>212</v>
      </c>
    </row>
    <row r="15" spans="1:8" ht="13.5" thickBot="1"/>
    <row r="16" spans="1:8">
      <c r="B16" s="1389" t="s">
        <v>4206</v>
      </c>
      <c r="C16" s="1390"/>
      <c r="D16" s="1498">
        <v>1E-3</v>
      </c>
      <c r="E16" s="1391"/>
      <c r="F16" s="831" t="s">
        <v>4207</v>
      </c>
    </row>
    <row r="17" spans="2:6" ht="13.5" thickBot="1">
      <c r="B17" s="1395" t="s">
        <v>2663</v>
      </c>
      <c r="C17" s="1396"/>
      <c r="D17" s="1396">
        <v>1001</v>
      </c>
      <c r="E17" s="1398"/>
      <c r="F17" s="831" t="s">
        <v>4208</v>
      </c>
    </row>
    <row r="18" spans="2:6" ht="13.5" thickBot="1"/>
    <row r="19" spans="2:6" ht="13.5" thickBot="1">
      <c r="B19" s="1405" t="s">
        <v>1959</v>
      </c>
      <c r="C19" s="1406"/>
      <c r="D19" s="1455">
        <v>1501.5</v>
      </c>
      <c r="E19" s="1408" t="s">
        <v>212</v>
      </c>
      <c r="F19" s="831" t="s">
        <v>4144</v>
      </c>
    </row>
    <row r="20" spans="2:6" ht="13.5" thickBot="1"/>
    <row r="21" spans="2:6">
      <c r="B21" s="1389" t="s">
        <v>4209</v>
      </c>
      <c r="C21" s="1390"/>
      <c r="D21" s="1498">
        <v>1.25E-3</v>
      </c>
      <c r="E21" s="1391"/>
      <c r="F21" s="831" t="s">
        <v>4210</v>
      </c>
    </row>
    <row r="22" spans="2:6" ht="13.5" thickBot="1">
      <c r="B22" s="1395" t="s">
        <v>2663</v>
      </c>
      <c r="C22" s="1396"/>
      <c r="D22" s="1396">
        <v>801</v>
      </c>
      <c r="E22" s="1398"/>
      <c r="F22" s="831" t="s">
        <v>4208</v>
      </c>
    </row>
    <row r="23" spans="2:6" ht="13.5" thickBot="1"/>
    <row r="24" spans="2:6" ht="13.5" thickBot="1">
      <c r="B24" s="1405" t="s">
        <v>1959</v>
      </c>
      <c r="C24" s="1406"/>
      <c r="D24" s="1455">
        <v>1201.5</v>
      </c>
      <c r="E24" s="1408" t="s">
        <v>212</v>
      </c>
      <c r="F24" s="831" t="s">
        <v>4144</v>
      </c>
    </row>
    <row r="26" spans="2:6" s="816" customFormat="1">
      <c r="B26" s="816" t="s">
        <v>4211</v>
      </c>
    </row>
    <row r="27" spans="2:6" s="816" customFormat="1">
      <c r="B27" s="816" t="s">
        <v>4212</v>
      </c>
    </row>
    <row r="28" spans="2:6" s="816" customFormat="1">
      <c r="B28" s="816" t="s">
        <v>4213</v>
      </c>
    </row>
    <row r="29" spans="2:6">
      <c r="B29" s="816" t="s">
        <v>4214</v>
      </c>
    </row>
  </sheetData>
  <pageMargins left="0.78740157499999996" right="0.78740157499999996" top="0.984251969" bottom="0.984251969" header="0.4921259845" footer="0.4921259845"/>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0"/>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4215</v>
      </c>
      <c r="B2" s="1381" t="s">
        <v>4216</v>
      </c>
      <c r="C2" s="1382"/>
      <c r="D2" s="1382"/>
      <c r="E2" s="1382"/>
      <c r="F2" s="1382"/>
      <c r="G2" s="1383"/>
    </row>
    <row r="3" spans="1:7">
      <c r="B3" s="1384" t="s">
        <v>4217</v>
      </c>
      <c r="C3" s="829"/>
      <c r="D3" s="829"/>
      <c r="E3" s="829"/>
      <c r="F3" s="829"/>
      <c r="G3" s="1385"/>
    </row>
    <row r="4" spans="1:7">
      <c r="B4" s="1384" t="s">
        <v>4218</v>
      </c>
      <c r="C4" s="829"/>
      <c r="D4" s="829"/>
      <c r="E4" s="829"/>
      <c r="F4" s="829"/>
      <c r="G4" s="1385"/>
    </row>
    <row r="5" spans="1:7">
      <c r="B5" s="1384" t="s">
        <v>4219</v>
      </c>
      <c r="C5" s="829"/>
      <c r="D5" s="829"/>
      <c r="E5" s="829"/>
      <c r="F5" s="829"/>
      <c r="G5" s="1385"/>
    </row>
    <row r="6" spans="1:7" ht="13.5" thickBot="1">
      <c r="B6" s="1386" t="s">
        <v>4220</v>
      </c>
      <c r="C6" s="1387"/>
      <c r="D6" s="1387"/>
      <c r="E6" s="1387"/>
      <c r="F6" s="1387"/>
      <c r="G6" s="1388"/>
    </row>
    <row r="8" spans="1:7">
      <c r="B8" s="818"/>
      <c r="C8" s="831" t="s">
        <v>3977</v>
      </c>
    </row>
    <row r="9" spans="1:7" ht="13.5" thickBot="1"/>
    <row r="10" spans="1:7">
      <c r="B10" s="1389" t="s">
        <v>3978</v>
      </c>
      <c r="C10" s="1390"/>
      <c r="D10" s="1390"/>
      <c r="E10" s="1391"/>
    </row>
    <row r="11" spans="1:7">
      <c r="B11" s="1392" t="s">
        <v>3045</v>
      </c>
      <c r="C11" s="1096"/>
      <c r="D11" s="1393">
        <v>180</v>
      </c>
      <c r="E11" s="1394" t="s">
        <v>212</v>
      </c>
    </row>
    <row r="12" spans="1:7">
      <c r="B12" s="1392" t="s">
        <v>1959</v>
      </c>
      <c r="C12" s="1096"/>
      <c r="D12" s="1393">
        <v>350</v>
      </c>
      <c r="E12" s="1394" t="s">
        <v>212</v>
      </c>
    </row>
    <row r="13" spans="1:7" ht="13.5" thickBot="1">
      <c r="B13" s="1457" t="s">
        <v>1773</v>
      </c>
      <c r="C13" s="1458"/>
      <c r="D13" s="1459">
        <v>10.5</v>
      </c>
      <c r="E13" s="1460" t="s">
        <v>212</v>
      </c>
    </row>
    <row r="14" spans="1:7" ht="13.5" thickTop="1"/>
    <row r="16" spans="1:7" ht="13.5" thickBot="1"/>
    <row r="17" spans="2:6">
      <c r="B17" s="1389"/>
      <c r="C17" s="1390"/>
      <c r="D17" s="1499">
        <v>32.333333333333336</v>
      </c>
      <c r="E17" s="1391"/>
      <c r="F17" s="831" t="s">
        <v>4192</v>
      </c>
    </row>
    <row r="18" spans="2:6" ht="13.5" thickBot="1">
      <c r="B18" s="1395" t="s">
        <v>2486</v>
      </c>
      <c r="C18" s="1396"/>
      <c r="D18" s="1500">
        <v>3.0927835051546389E-2</v>
      </c>
      <c r="E18" s="1398"/>
      <c r="F18" s="831" t="s">
        <v>3982</v>
      </c>
    </row>
    <row r="19" spans="2:6" ht="13.5" thickBot="1"/>
    <row r="20" spans="2:6" ht="13.5" thickBot="1">
      <c r="B20" s="1405" t="s">
        <v>526</v>
      </c>
      <c r="C20" s="1406"/>
      <c r="D20" s="1501">
        <v>5.5670103092783503</v>
      </c>
      <c r="E20" s="1408" t="s">
        <v>212</v>
      </c>
      <c r="F20" s="831" t="s">
        <v>4120</v>
      </c>
    </row>
  </sheetData>
  <pageMargins left="0.78740157499999996" right="0.78740157499999996" top="0.984251969" bottom="0.984251969" header="0.4921259845" footer="0.4921259845"/>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4221</v>
      </c>
      <c r="B2" s="1381" t="s">
        <v>4222</v>
      </c>
      <c r="C2" s="1382"/>
      <c r="D2" s="1382"/>
      <c r="E2" s="1382"/>
      <c r="F2" s="1382"/>
      <c r="G2" s="1382"/>
      <c r="H2" s="1382"/>
      <c r="I2" s="1383"/>
    </row>
    <row r="3" spans="1:9">
      <c r="B3" s="1384" t="s">
        <v>4223</v>
      </c>
      <c r="C3" s="829"/>
      <c r="D3" s="829"/>
      <c r="E3" s="829"/>
      <c r="F3" s="829"/>
      <c r="G3" s="829"/>
      <c r="H3" s="829"/>
      <c r="I3" s="1385"/>
    </row>
    <row r="4" spans="1:9">
      <c r="B4" s="1384" t="s">
        <v>4224</v>
      </c>
      <c r="C4" s="829"/>
      <c r="D4" s="829"/>
      <c r="E4" s="829"/>
      <c r="F4" s="829"/>
      <c r="G4" s="829"/>
      <c r="H4" s="829"/>
      <c r="I4" s="1385"/>
    </row>
    <row r="5" spans="1:9">
      <c r="B5" s="1384" t="s">
        <v>4225</v>
      </c>
      <c r="C5" s="829"/>
      <c r="D5" s="829"/>
      <c r="E5" s="829"/>
      <c r="F5" s="829"/>
      <c r="G5" s="829"/>
      <c r="H5" s="829"/>
      <c r="I5" s="1385"/>
    </row>
    <row r="6" spans="1:9" ht="13.5" thickBot="1">
      <c r="B6" s="1386" t="s">
        <v>4226</v>
      </c>
      <c r="C6" s="1387"/>
      <c r="D6" s="1387"/>
      <c r="E6" s="1387"/>
      <c r="F6" s="1387"/>
      <c r="G6" s="1387"/>
      <c r="H6" s="1387"/>
      <c r="I6" s="1388"/>
    </row>
    <row r="8" spans="1:9">
      <c r="B8" s="818"/>
      <c r="C8" s="831" t="s">
        <v>3977</v>
      </c>
    </row>
    <row r="9" spans="1:9" ht="13.5" thickBot="1"/>
    <row r="10" spans="1:9">
      <c r="B10" s="1389" t="s">
        <v>3978</v>
      </c>
      <c r="C10" s="1390"/>
      <c r="D10" s="1390"/>
      <c r="E10" s="1391"/>
    </row>
    <row r="11" spans="1:9">
      <c r="B11" s="1392" t="s">
        <v>3045</v>
      </c>
      <c r="C11" s="1096"/>
      <c r="D11" s="1393">
        <v>1500</v>
      </c>
      <c r="E11" s="1394" t="s">
        <v>212</v>
      </c>
    </row>
    <row r="12" spans="1:9">
      <c r="B12" s="1392" t="s">
        <v>1773</v>
      </c>
      <c r="C12" s="1096"/>
      <c r="D12" s="1393">
        <v>15</v>
      </c>
      <c r="E12" s="1394" t="s">
        <v>212</v>
      </c>
    </row>
    <row r="13" spans="1:9" ht="13.5" thickBot="1">
      <c r="B13" s="1457" t="s">
        <v>526</v>
      </c>
      <c r="C13" s="1458"/>
      <c r="D13" s="1459">
        <v>10</v>
      </c>
      <c r="E13" s="1460" t="s">
        <v>212</v>
      </c>
    </row>
    <row r="14" spans="1:9" ht="13.5" thickTop="1">
      <c r="B14" s="1392" t="s">
        <v>318</v>
      </c>
      <c r="C14" s="1096"/>
      <c r="D14" s="1393">
        <v>12</v>
      </c>
      <c r="E14" s="1394" t="s">
        <v>212</v>
      </c>
    </row>
    <row r="15" spans="1:9" ht="13.5" thickBot="1">
      <c r="B15" s="1395" t="s">
        <v>317</v>
      </c>
      <c r="C15" s="1396"/>
      <c r="D15" s="1397">
        <v>9</v>
      </c>
      <c r="E15" s="1398" t="s">
        <v>212</v>
      </c>
    </row>
    <row r="16" spans="1:9" ht="13.5" thickBot="1"/>
    <row r="17" spans="2:6">
      <c r="B17" s="1389" t="s">
        <v>2486</v>
      </c>
      <c r="C17" s="1390"/>
      <c r="D17" s="1462">
        <v>6.6666666666666671E-3</v>
      </c>
      <c r="E17" s="1391"/>
      <c r="F17" s="831" t="s">
        <v>3979</v>
      </c>
    </row>
    <row r="18" spans="2:6" ht="13.5" thickBot="1">
      <c r="B18" s="1395" t="s">
        <v>2663</v>
      </c>
      <c r="C18" s="1396"/>
      <c r="D18" s="1449">
        <v>151</v>
      </c>
      <c r="E18" s="1398"/>
      <c r="F18" s="831" t="s">
        <v>4227</v>
      </c>
    </row>
    <row r="19" spans="2:6" ht="13.5" thickBot="1"/>
    <row r="20" spans="2:6" ht="13.5" thickBot="1">
      <c r="B20" s="1405" t="s">
        <v>1959</v>
      </c>
      <c r="C20" s="1406"/>
      <c r="D20" s="1455">
        <v>2265</v>
      </c>
      <c r="E20" s="1408" t="s">
        <v>212</v>
      </c>
      <c r="F20" s="831" t="s">
        <v>4144</v>
      </c>
    </row>
    <row r="21" spans="2:6" ht="13.5" thickBot="1"/>
    <row r="22" spans="2:6" ht="13.5" thickBot="1">
      <c r="B22" s="1405" t="s">
        <v>1774</v>
      </c>
      <c r="C22" s="1406"/>
      <c r="D22" s="1455">
        <v>15.1</v>
      </c>
      <c r="E22" s="1408" t="s">
        <v>212</v>
      </c>
      <c r="F22" s="831" t="s">
        <v>4228</v>
      </c>
    </row>
  </sheetData>
  <pageMargins left="0.78740157499999996" right="0.78740157499999996" top="0.984251969" bottom="0.984251969" header="0.4921259845" footer="0.4921259845"/>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0"/>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4229</v>
      </c>
      <c r="B2" s="1381" t="s">
        <v>4230</v>
      </c>
      <c r="C2" s="1382"/>
      <c r="D2" s="1382"/>
      <c r="E2" s="1382"/>
      <c r="F2" s="1382"/>
      <c r="G2" s="1382"/>
      <c r="H2" s="1383"/>
    </row>
    <row r="3" spans="1:8">
      <c r="B3" s="1384" t="s">
        <v>4231</v>
      </c>
      <c r="C3" s="829"/>
      <c r="D3" s="829"/>
      <c r="E3" s="829"/>
      <c r="F3" s="829"/>
      <c r="G3" s="829"/>
      <c r="H3" s="1385"/>
    </row>
    <row r="4" spans="1:8">
      <c r="B4" s="1384" t="s">
        <v>4232</v>
      </c>
      <c r="C4" s="829"/>
      <c r="D4" s="829"/>
      <c r="E4" s="829"/>
      <c r="F4" s="829"/>
      <c r="G4" s="829"/>
      <c r="H4" s="1385"/>
    </row>
    <row r="5" spans="1:8" ht="13.5" thickBot="1">
      <c r="B5" s="1386" t="s">
        <v>4233</v>
      </c>
      <c r="C5" s="1387"/>
      <c r="D5" s="1387"/>
      <c r="E5" s="1387"/>
      <c r="F5" s="1387"/>
      <c r="G5" s="1387"/>
      <c r="H5" s="1388"/>
    </row>
    <row r="7" spans="1:8">
      <c r="B7" s="818"/>
      <c r="C7" s="831" t="s">
        <v>3977</v>
      </c>
    </row>
    <row r="8" spans="1:8" ht="13.5" thickBot="1"/>
    <row r="9" spans="1:8">
      <c r="B9" s="1389" t="s">
        <v>3978</v>
      </c>
      <c r="C9" s="1390"/>
      <c r="D9" s="1390"/>
      <c r="E9" s="1391"/>
    </row>
    <row r="10" spans="1:8">
      <c r="B10" s="1392" t="s">
        <v>3045</v>
      </c>
      <c r="C10" s="1096"/>
      <c r="D10" s="1393">
        <v>160</v>
      </c>
      <c r="E10" s="1394" t="s">
        <v>212</v>
      </c>
    </row>
    <row r="11" spans="1:8">
      <c r="B11" s="1392" t="s">
        <v>4000</v>
      </c>
      <c r="C11" s="1096"/>
      <c r="D11" s="1393">
        <v>220</v>
      </c>
      <c r="E11" s="1394" t="s">
        <v>212</v>
      </c>
    </row>
    <row r="12" spans="1:8">
      <c r="B12" s="1392" t="s">
        <v>1773</v>
      </c>
      <c r="C12" s="1096"/>
      <c r="D12" s="1393">
        <v>15</v>
      </c>
      <c r="E12" s="1394" t="s">
        <v>212</v>
      </c>
    </row>
    <row r="13" spans="1:8" ht="13.5" thickBot="1">
      <c r="B13" s="1457" t="s">
        <v>1959</v>
      </c>
      <c r="C13" s="1458"/>
      <c r="D13" s="1459">
        <v>315</v>
      </c>
      <c r="E13" s="1460" t="s">
        <v>212</v>
      </c>
    </row>
    <row r="14" spans="1:8" ht="13.5" thickTop="1">
      <c r="B14" s="1392" t="s">
        <v>318</v>
      </c>
      <c r="C14" s="1096"/>
      <c r="D14" s="1393">
        <v>9</v>
      </c>
      <c r="E14" s="1394" t="s">
        <v>212</v>
      </c>
    </row>
    <row r="15" spans="1:8" ht="13.5" thickBot="1">
      <c r="B15" s="1395" t="s">
        <v>317</v>
      </c>
      <c r="C15" s="1396"/>
      <c r="D15" s="1397">
        <v>12</v>
      </c>
      <c r="E15" s="1398" t="s">
        <v>212</v>
      </c>
    </row>
    <row r="16" spans="1:8" ht="13.5" thickBot="1"/>
    <row r="17" spans="2:6">
      <c r="B17" s="1389" t="s">
        <v>2486</v>
      </c>
      <c r="C17" s="1390"/>
      <c r="D17" s="1390">
        <v>20</v>
      </c>
      <c r="E17" s="1391"/>
      <c r="F17" s="831" t="s">
        <v>4192</v>
      </c>
    </row>
    <row r="18" spans="2:6" ht="13.5" thickBot="1">
      <c r="B18" s="1395"/>
      <c r="C18" s="1396"/>
      <c r="D18" s="1396">
        <v>0.05</v>
      </c>
      <c r="E18" s="1398"/>
      <c r="F18" s="1413" t="s">
        <v>3982</v>
      </c>
    </row>
    <row r="19" spans="2:6" ht="13.5" thickBot="1"/>
    <row r="20" spans="2:6">
      <c r="B20" s="1389" t="s">
        <v>526</v>
      </c>
      <c r="C20" s="1390"/>
      <c r="D20" s="1502">
        <v>8</v>
      </c>
      <c r="E20" s="1391"/>
      <c r="F20" s="831" t="s">
        <v>4120</v>
      </c>
    </row>
    <row r="21" spans="2:6" ht="13.5" thickBot="1">
      <c r="B21" s="1395" t="s">
        <v>520</v>
      </c>
      <c r="C21" s="1396"/>
      <c r="D21" s="1451">
        <v>11</v>
      </c>
      <c r="E21" s="1398"/>
      <c r="F21" s="831" t="s">
        <v>4234</v>
      </c>
    </row>
    <row r="26" spans="2:6">
      <c r="D26" s="1503" t="s">
        <v>4235</v>
      </c>
      <c r="E26" s="1096"/>
    </row>
    <row r="27" spans="2:6">
      <c r="D27" s="1096"/>
      <c r="E27" s="1096"/>
    </row>
    <row r="28" spans="2:6">
      <c r="D28" s="1096"/>
      <c r="E28" s="1096"/>
    </row>
    <row r="29" spans="2:6">
      <c r="D29" s="1473" t="s">
        <v>4236</v>
      </c>
      <c r="E29" s="1504">
        <v>160</v>
      </c>
      <c r="F29" s="831" t="s">
        <v>212</v>
      </c>
    </row>
    <row r="30" spans="2:6">
      <c r="D30" s="1473" t="s">
        <v>1971</v>
      </c>
      <c r="E30" s="1504">
        <v>220</v>
      </c>
      <c r="F30" s="831" t="s">
        <v>212</v>
      </c>
    </row>
    <row r="31" spans="2:6">
      <c r="D31" s="1473" t="s">
        <v>318</v>
      </c>
      <c r="E31" s="1504">
        <v>9</v>
      </c>
      <c r="F31" s="831" t="s">
        <v>212</v>
      </c>
    </row>
    <row r="32" spans="2:6">
      <c r="D32" s="1473" t="s">
        <v>317</v>
      </c>
      <c r="E32" s="1504">
        <v>12</v>
      </c>
      <c r="F32" s="831" t="s">
        <v>212</v>
      </c>
    </row>
    <row r="33" spans="4:7">
      <c r="D33" s="1473" t="s">
        <v>1959</v>
      </c>
      <c r="E33" s="1504">
        <v>315</v>
      </c>
      <c r="F33" s="831" t="s">
        <v>212</v>
      </c>
    </row>
    <row r="34" spans="4:7">
      <c r="D34" s="1473" t="s">
        <v>1773</v>
      </c>
      <c r="E34" s="1504">
        <v>15</v>
      </c>
      <c r="F34" s="831" t="s">
        <v>212</v>
      </c>
    </row>
    <row r="35" spans="4:7">
      <c r="D35" s="1473"/>
      <c r="E35" s="1096"/>
    </row>
    <row r="36" spans="4:7">
      <c r="D36" s="1473" t="s">
        <v>2597</v>
      </c>
      <c r="E36" s="1099">
        <v>21</v>
      </c>
    </row>
    <row r="37" spans="4:7">
      <c r="D37" s="1473" t="s">
        <v>2486</v>
      </c>
      <c r="E37" s="1099">
        <v>0.05</v>
      </c>
    </row>
    <row r="38" spans="4:7">
      <c r="D38" s="1473" t="s">
        <v>2486</v>
      </c>
      <c r="E38" s="1099" t="s">
        <v>3990</v>
      </c>
      <c r="G38" s="831" t="s">
        <v>4237</v>
      </c>
    </row>
    <row r="39" spans="4:7">
      <c r="D39" s="1473"/>
      <c r="E39" s="1099"/>
    </row>
    <row r="40" spans="4:7">
      <c r="D40" s="1473" t="s">
        <v>526</v>
      </c>
      <c r="E40" s="1099">
        <v>8</v>
      </c>
      <c r="F40" s="831" t="s">
        <v>212</v>
      </c>
    </row>
    <row r="41" spans="4:7">
      <c r="D41" s="1473" t="s">
        <v>520</v>
      </c>
      <c r="E41" s="1099">
        <v>11</v>
      </c>
      <c r="F41" s="831" t="s">
        <v>212</v>
      </c>
    </row>
    <row r="42" spans="4:7">
      <c r="D42" s="1473" t="s">
        <v>354</v>
      </c>
      <c r="E42" s="1099">
        <v>88</v>
      </c>
      <c r="F42" s="831" t="s">
        <v>215</v>
      </c>
    </row>
    <row r="43" spans="4:7">
      <c r="D43" s="1473" t="s">
        <v>4238</v>
      </c>
      <c r="E43" s="1099">
        <v>108</v>
      </c>
      <c r="F43" s="831" t="s">
        <v>215</v>
      </c>
    </row>
    <row r="44" spans="4:7">
      <c r="D44" s="1473" t="s">
        <v>4239</v>
      </c>
      <c r="E44" s="1099">
        <v>20</v>
      </c>
      <c r="F44" s="831" t="s">
        <v>215</v>
      </c>
    </row>
    <row r="45" spans="4:7">
      <c r="D45" s="1473" t="s">
        <v>4240</v>
      </c>
      <c r="E45" s="1505">
        <v>0.18518518518518517</v>
      </c>
    </row>
    <row r="46" spans="4:7">
      <c r="D46" s="1096"/>
      <c r="E46" s="1099"/>
    </row>
    <row r="47" spans="4:7">
      <c r="D47" s="828" t="s">
        <v>1774</v>
      </c>
      <c r="E47" s="1099">
        <v>15.75</v>
      </c>
      <c r="F47" s="831" t="s">
        <v>212</v>
      </c>
      <c r="G47" s="831" t="s">
        <v>4241</v>
      </c>
    </row>
    <row r="48" spans="4:7">
      <c r="D48" s="1096"/>
      <c r="E48" s="1099"/>
    </row>
    <row r="49" spans="4:5">
      <c r="D49" s="1096"/>
      <c r="E49" s="1096" t="s">
        <v>4242</v>
      </c>
    </row>
    <row r="50" spans="4:5">
      <c r="D50" s="1096"/>
      <c r="E50" s="1096" t="s">
        <v>4243</v>
      </c>
    </row>
  </sheetData>
  <pageMargins left="0.78740157499999996" right="0.78740157499999996" top="0.984251969" bottom="0.984251969" header="0.4921259845" footer="0.492125984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4244</v>
      </c>
      <c r="B2" s="1381" t="s">
        <v>4245</v>
      </c>
      <c r="C2" s="1382"/>
      <c r="D2" s="1382"/>
      <c r="E2" s="1382"/>
      <c r="F2" s="1382"/>
      <c r="G2" s="1382"/>
      <c r="H2" s="1383"/>
    </row>
    <row r="3" spans="1:8">
      <c r="B3" s="1384" t="s">
        <v>4246</v>
      </c>
      <c r="C3" s="829"/>
      <c r="D3" s="829"/>
      <c r="E3" s="829"/>
      <c r="F3" s="829"/>
      <c r="G3" s="829"/>
      <c r="H3" s="1385"/>
    </row>
    <row r="4" spans="1:8">
      <c r="B4" s="1384" t="s">
        <v>4247</v>
      </c>
      <c r="C4" s="829"/>
      <c r="D4" s="829"/>
      <c r="E4" s="829"/>
      <c r="F4" s="829"/>
      <c r="G4" s="829"/>
      <c r="H4" s="1385"/>
    </row>
    <row r="5" spans="1:8" ht="13.5" thickBot="1">
      <c r="B5" s="1386" t="s">
        <v>3976</v>
      </c>
      <c r="C5" s="1387"/>
      <c r="D5" s="1387"/>
      <c r="E5" s="1387"/>
      <c r="F5" s="1387"/>
      <c r="G5" s="1387"/>
      <c r="H5" s="1388"/>
    </row>
    <row r="7" spans="1:8">
      <c r="B7" s="818"/>
      <c r="C7" s="831" t="s">
        <v>3977</v>
      </c>
    </row>
    <row r="8" spans="1:8" ht="13.5" thickBot="1"/>
    <row r="9" spans="1:8">
      <c r="B9" s="1389" t="s">
        <v>3978</v>
      </c>
      <c r="C9" s="1390"/>
      <c r="D9" s="1390"/>
      <c r="E9" s="1391"/>
    </row>
    <row r="10" spans="1:8">
      <c r="B10" s="1392" t="s">
        <v>3045</v>
      </c>
      <c r="C10" s="1096"/>
      <c r="D10" s="1393">
        <v>80</v>
      </c>
      <c r="E10" s="1394" t="s">
        <v>212</v>
      </c>
    </row>
    <row r="11" spans="1:8">
      <c r="B11" s="1392" t="s">
        <v>526</v>
      </c>
      <c r="C11" s="1096"/>
      <c r="D11" s="1393">
        <v>10</v>
      </c>
      <c r="E11" s="1394" t="s">
        <v>212</v>
      </c>
    </row>
    <row r="12" spans="1:8" ht="13.5" thickBot="1">
      <c r="B12" s="1395" t="s">
        <v>1959</v>
      </c>
      <c r="C12" s="1396"/>
      <c r="D12" s="1397">
        <v>135</v>
      </c>
      <c r="E12" s="1398" t="s">
        <v>212</v>
      </c>
    </row>
    <row r="13" spans="1:8" ht="13.5" thickBot="1"/>
    <row r="14" spans="1:8">
      <c r="B14" s="1389" t="s">
        <v>2486</v>
      </c>
      <c r="C14" s="1390"/>
      <c r="D14" s="1444">
        <v>0.125</v>
      </c>
      <c r="E14" s="1391"/>
      <c r="F14" s="831" t="s">
        <v>3979</v>
      </c>
    </row>
    <row r="15" spans="1:8" ht="13.5" thickBot="1">
      <c r="B15" s="1395" t="s">
        <v>2663</v>
      </c>
      <c r="C15" s="1396"/>
      <c r="D15" s="1449">
        <v>9</v>
      </c>
      <c r="E15" s="1398"/>
      <c r="F15" s="831" t="s">
        <v>4248</v>
      </c>
    </row>
    <row r="16" spans="1:8" ht="13.5" thickBot="1"/>
    <row r="17" spans="2:6" ht="13.5" thickBot="1">
      <c r="B17" s="1405" t="s">
        <v>1773</v>
      </c>
      <c r="C17" s="1406"/>
      <c r="D17" s="1455">
        <v>15</v>
      </c>
      <c r="E17" s="1408" t="s">
        <v>212</v>
      </c>
      <c r="F17" s="831" t="s">
        <v>4249</v>
      </c>
    </row>
    <row r="18" spans="2:6" ht="13.5" thickBot="1"/>
    <row r="19" spans="2:6" ht="13.5" thickBot="1">
      <c r="B19" s="1405" t="s">
        <v>1774</v>
      </c>
      <c r="C19" s="1406"/>
      <c r="D19" s="1445">
        <v>16.875</v>
      </c>
      <c r="E19" s="1408" t="s">
        <v>212</v>
      </c>
      <c r="F19" s="831" t="s">
        <v>4228</v>
      </c>
    </row>
  </sheetData>
  <pageMargins left="0.78740157499999996" right="0.78740157499999996" top="0.984251969" bottom="0.984251969" header="0.4921259845" footer="0.4921259845"/>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8"/>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4250</v>
      </c>
      <c r="B2" s="1381" t="s">
        <v>4251</v>
      </c>
      <c r="C2" s="1382"/>
      <c r="D2" s="1382"/>
      <c r="E2" s="1382"/>
      <c r="F2" s="1382"/>
      <c r="G2" s="1382"/>
      <c r="H2" s="1383"/>
    </row>
    <row r="3" spans="1:8">
      <c r="B3" s="1384" t="s">
        <v>4252</v>
      </c>
      <c r="C3" s="829"/>
      <c r="D3" s="829"/>
      <c r="E3" s="829"/>
      <c r="F3" s="829"/>
      <c r="G3" s="829"/>
      <c r="H3" s="1385"/>
    </row>
    <row r="4" spans="1:8" ht="13.5" thickBot="1">
      <c r="B4" s="1386" t="s">
        <v>4253</v>
      </c>
      <c r="C4" s="1387"/>
      <c r="D4" s="1387"/>
      <c r="E4" s="1387"/>
      <c r="F4" s="1387"/>
      <c r="G4" s="1387"/>
      <c r="H4" s="1388"/>
    </row>
    <row r="6" spans="1:8">
      <c r="B6" s="818"/>
      <c r="C6" s="831" t="s">
        <v>3977</v>
      </c>
    </row>
    <row r="7" spans="1:8" ht="13.5" thickBot="1"/>
    <row r="8" spans="1:8">
      <c r="B8" s="1389" t="s">
        <v>3978</v>
      </c>
      <c r="C8" s="1390"/>
      <c r="D8" s="1390"/>
      <c r="E8" s="1391"/>
    </row>
    <row r="9" spans="1:8">
      <c r="B9" s="1392" t="s">
        <v>4000</v>
      </c>
      <c r="C9" s="1096"/>
      <c r="D9" s="1393">
        <v>720</v>
      </c>
      <c r="E9" s="1394" t="s">
        <v>212</v>
      </c>
    </row>
    <row r="10" spans="1:8">
      <c r="B10" s="1392" t="s">
        <v>1773</v>
      </c>
      <c r="C10" s="1096"/>
      <c r="D10" s="1393">
        <v>13.5</v>
      </c>
      <c r="E10" s="1394" t="s">
        <v>212</v>
      </c>
    </row>
    <row r="11" spans="1:8" ht="13.5" thickBot="1">
      <c r="B11" s="1395" t="s">
        <v>1959</v>
      </c>
      <c r="C11" s="1396"/>
      <c r="D11" s="1397">
        <v>900</v>
      </c>
      <c r="E11" s="1398" t="s">
        <v>212</v>
      </c>
    </row>
    <row r="12" spans="1:8" ht="13.5" thickBot="1"/>
    <row r="13" spans="1:8">
      <c r="B13" s="1389" t="s">
        <v>2486</v>
      </c>
      <c r="C13" s="1390"/>
      <c r="D13" s="1444">
        <v>65.666666666666671</v>
      </c>
      <c r="E13" s="1391"/>
      <c r="F13" s="831" t="s">
        <v>4192</v>
      </c>
    </row>
    <row r="14" spans="1:8" ht="13.5" thickBot="1">
      <c r="B14" s="1395"/>
      <c r="C14" s="1396"/>
      <c r="D14" s="1420">
        <v>1.5228426395939085E-2</v>
      </c>
      <c r="E14" s="1398"/>
      <c r="F14" s="831" t="s">
        <v>4254</v>
      </c>
    </row>
    <row r="15" spans="1:8" ht="13.5" thickBot="1"/>
    <row r="16" spans="1:8" ht="13.5" thickBot="1">
      <c r="B16" s="1405" t="s">
        <v>520</v>
      </c>
      <c r="C16" s="1406"/>
      <c r="D16" s="1445">
        <v>10.964467005076141</v>
      </c>
      <c r="E16" s="1408" t="s">
        <v>212</v>
      </c>
      <c r="F16" s="831" t="s">
        <v>4255</v>
      </c>
    </row>
    <row r="17" spans="2:6" ht="13.5" thickBot="1"/>
    <row r="18" spans="2:6" ht="13.5" thickBot="1">
      <c r="B18" s="1405" t="s">
        <v>1774</v>
      </c>
      <c r="C18" s="1406"/>
      <c r="D18" s="1445">
        <v>13.705583756345177</v>
      </c>
      <c r="E18" s="1408" t="s">
        <v>212</v>
      </c>
      <c r="F18" s="831" t="s">
        <v>4256</v>
      </c>
    </row>
  </sheetData>
  <pageMargins left="0.78740157499999996" right="0.78740157499999996" top="0.984251969" bottom="0.984251969" header="0.4921259845" footer="0.4921259845"/>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4"/>
  <sheetViews>
    <sheetView workbookViewId="0">
      <selection activeCell="J26" sqref="J26"/>
    </sheetView>
  </sheetViews>
  <sheetFormatPr baseColWidth="10" defaultRowHeight="12.75"/>
  <cols>
    <col min="1" max="9" width="11.42578125" style="831"/>
    <col min="10" max="10" width="16.28515625" style="831" customWidth="1"/>
    <col min="11" max="265" width="11.42578125" style="831"/>
    <col min="266" max="266" width="16.28515625" style="831" customWidth="1"/>
    <col min="267" max="521" width="11.42578125" style="831"/>
    <col min="522" max="522" width="16.28515625" style="831" customWidth="1"/>
    <col min="523" max="777" width="11.42578125" style="831"/>
    <col min="778" max="778" width="16.28515625" style="831" customWidth="1"/>
    <col min="779" max="1033" width="11.42578125" style="831"/>
    <col min="1034" max="1034" width="16.28515625" style="831" customWidth="1"/>
    <col min="1035" max="1289" width="11.42578125" style="831"/>
    <col min="1290" max="1290" width="16.28515625" style="831" customWidth="1"/>
    <col min="1291" max="1545" width="11.42578125" style="831"/>
    <col min="1546" max="1546" width="16.28515625" style="831" customWidth="1"/>
    <col min="1547" max="1801" width="11.42578125" style="831"/>
    <col min="1802" max="1802" width="16.28515625" style="831" customWidth="1"/>
    <col min="1803" max="2057" width="11.42578125" style="831"/>
    <col min="2058" max="2058" width="16.28515625" style="831" customWidth="1"/>
    <col min="2059" max="2313" width="11.42578125" style="831"/>
    <col min="2314" max="2314" width="16.28515625" style="831" customWidth="1"/>
    <col min="2315" max="2569" width="11.42578125" style="831"/>
    <col min="2570" max="2570" width="16.28515625" style="831" customWidth="1"/>
    <col min="2571" max="2825" width="11.42578125" style="831"/>
    <col min="2826" max="2826" width="16.28515625" style="831" customWidth="1"/>
    <col min="2827" max="3081" width="11.42578125" style="831"/>
    <col min="3082" max="3082" width="16.28515625" style="831" customWidth="1"/>
    <col min="3083" max="3337" width="11.42578125" style="831"/>
    <col min="3338" max="3338" width="16.28515625" style="831" customWidth="1"/>
    <col min="3339" max="3593" width="11.42578125" style="831"/>
    <col min="3594" max="3594" width="16.28515625" style="831" customWidth="1"/>
    <col min="3595" max="3849" width="11.42578125" style="831"/>
    <col min="3850" max="3850" width="16.28515625" style="831" customWidth="1"/>
    <col min="3851" max="4105" width="11.42578125" style="831"/>
    <col min="4106" max="4106" width="16.28515625" style="831" customWidth="1"/>
    <col min="4107" max="4361" width="11.42578125" style="831"/>
    <col min="4362" max="4362" width="16.28515625" style="831" customWidth="1"/>
    <col min="4363" max="4617" width="11.42578125" style="831"/>
    <col min="4618" max="4618" width="16.28515625" style="831" customWidth="1"/>
    <col min="4619" max="4873" width="11.42578125" style="831"/>
    <col min="4874" max="4874" width="16.28515625" style="831" customWidth="1"/>
    <col min="4875" max="5129" width="11.42578125" style="831"/>
    <col min="5130" max="5130" width="16.28515625" style="831" customWidth="1"/>
    <col min="5131" max="5385" width="11.42578125" style="831"/>
    <col min="5386" max="5386" width="16.28515625" style="831" customWidth="1"/>
    <col min="5387" max="5641" width="11.42578125" style="831"/>
    <col min="5642" max="5642" width="16.28515625" style="831" customWidth="1"/>
    <col min="5643" max="5897" width="11.42578125" style="831"/>
    <col min="5898" max="5898" width="16.28515625" style="831" customWidth="1"/>
    <col min="5899" max="6153" width="11.42578125" style="831"/>
    <col min="6154" max="6154" width="16.28515625" style="831" customWidth="1"/>
    <col min="6155" max="6409" width="11.42578125" style="831"/>
    <col min="6410" max="6410" width="16.28515625" style="831" customWidth="1"/>
    <col min="6411" max="6665" width="11.42578125" style="831"/>
    <col min="6666" max="6666" width="16.28515625" style="831" customWidth="1"/>
    <col min="6667" max="6921" width="11.42578125" style="831"/>
    <col min="6922" max="6922" width="16.28515625" style="831" customWidth="1"/>
    <col min="6923" max="7177" width="11.42578125" style="831"/>
    <col min="7178" max="7178" width="16.28515625" style="831" customWidth="1"/>
    <col min="7179" max="7433" width="11.42578125" style="831"/>
    <col min="7434" max="7434" width="16.28515625" style="831" customWidth="1"/>
    <col min="7435" max="7689" width="11.42578125" style="831"/>
    <col min="7690" max="7690" width="16.28515625" style="831" customWidth="1"/>
    <col min="7691" max="7945" width="11.42578125" style="831"/>
    <col min="7946" max="7946" width="16.28515625" style="831" customWidth="1"/>
    <col min="7947" max="8201" width="11.42578125" style="831"/>
    <col min="8202" max="8202" width="16.28515625" style="831" customWidth="1"/>
    <col min="8203" max="8457" width="11.42578125" style="831"/>
    <col min="8458" max="8458" width="16.28515625" style="831" customWidth="1"/>
    <col min="8459" max="8713" width="11.42578125" style="831"/>
    <col min="8714" max="8714" width="16.28515625" style="831" customWidth="1"/>
    <col min="8715" max="8969" width="11.42578125" style="831"/>
    <col min="8970" max="8970" width="16.28515625" style="831" customWidth="1"/>
    <col min="8971" max="9225" width="11.42578125" style="831"/>
    <col min="9226" max="9226" width="16.28515625" style="831" customWidth="1"/>
    <col min="9227" max="9481" width="11.42578125" style="831"/>
    <col min="9482" max="9482" width="16.28515625" style="831" customWidth="1"/>
    <col min="9483" max="9737" width="11.42578125" style="831"/>
    <col min="9738" max="9738" width="16.28515625" style="831" customWidth="1"/>
    <col min="9739" max="9993" width="11.42578125" style="831"/>
    <col min="9994" max="9994" width="16.28515625" style="831" customWidth="1"/>
    <col min="9995" max="10249" width="11.42578125" style="831"/>
    <col min="10250" max="10250" width="16.28515625" style="831" customWidth="1"/>
    <col min="10251" max="10505" width="11.42578125" style="831"/>
    <col min="10506" max="10506" width="16.28515625" style="831" customWidth="1"/>
    <col min="10507" max="10761" width="11.42578125" style="831"/>
    <col min="10762" max="10762" width="16.28515625" style="831" customWidth="1"/>
    <col min="10763" max="11017" width="11.42578125" style="831"/>
    <col min="11018" max="11018" width="16.28515625" style="831" customWidth="1"/>
    <col min="11019" max="11273" width="11.42578125" style="831"/>
    <col min="11274" max="11274" width="16.28515625" style="831" customWidth="1"/>
    <col min="11275" max="11529" width="11.42578125" style="831"/>
    <col min="11530" max="11530" width="16.28515625" style="831" customWidth="1"/>
    <col min="11531" max="11785" width="11.42578125" style="831"/>
    <col min="11786" max="11786" width="16.28515625" style="831" customWidth="1"/>
    <col min="11787" max="12041" width="11.42578125" style="831"/>
    <col min="12042" max="12042" width="16.28515625" style="831" customWidth="1"/>
    <col min="12043" max="12297" width="11.42578125" style="831"/>
    <col min="12298" max="12298" width="16.28515625" style="831" customWidth="1"/>
    <col min="12299" max="12553" width="11.42578125" style="831"/>
    <col min="12554" max="12554" width="16.28515625" style="831" customWidth="1"/>
    <col min="12555" max="12809" width="11.42578125" style="831"/>
    <col min="12810" max="12810" width="16.28515625" style="831" customWidth="1"/>
    <col min="12811" max="13065" width="11.42578125" style="831"/>
    <col min="13066" max="13066" width="16.28515625" style="831" customWidth="1"/>
    <col min="13067" max="13321" width="11.42578125" style="831"/>
    <col min="13322" max="13322" width="16.28515625" style="831" customWidth="1"/>
    <col min="13323" max="13577" width="11.42578125" style="831"/>
    <col min="13578" max="13578" width="16.28515625" style="831" customWidth="1"/>
    <col min="13579" max="13833" width="11.42578125" style="831"/>
    <col min="13834" max="13834" width="16.28515625" style="831" customWidth="1"/>
    <col min="13835" max="14089" width="11.42578125" style="831"/>
    <col min="14090" max="14090" width="16.28515625" style="831" customWidth="1"/>
    <col min="14091" max="14345" width="11.42578125" style="831"/>
    <col min="14346" max="14346" width="16.28515625" style="831" customWidth="1"/>
    <col min="14347" max="14601" width="11.42578125" style="831"/>
    <col min="14602" max="14602" width="16.28515625" style="831" customWidth="1"/>
    <col min="14603" max="14857" width="11.42578125" style="831"/>
    <col min="14858" max="14858" width="16.28515625" style="831" customWidth="1"/>
    <col min="14859" max="15113" width="11.42578125" style="831"/>
    <col min="15114" max="15114" width="16.28515625" style="831" customWidth="1"/>
    <col min="15115" max="15369" width="11.42578125" style="831"/>
    <col min="15370" max="15370" width="16.28515625" style="831" customWidth="1"/>
    <col min="15371" max="15625" width="11.42578125" style="831"/>
    <col min="15626" max="15626" width="16.28515625" style="831" customWidth="1"/>
    <col min="15627" max="15881" width="11.42578125" style="831"/>
    <col min="15882" max="15882" width="16.28515625" style="831" customWidth="1"/>
    <col min="15883" max="16137" width="11.42578125" style="831"/>
    <col min="16138" max="16138" width="16.28515625" style="831" customWidth="1"/>
    <col min="16139" max="16384" width="11.42578125" style="831"/>
  </cols>
  <sheetData>
    <row r="1" spans="1:10" ht="13.5" thickBot="1"/>
    <row r="2" spans="1:10">
      <c r="A2" s="963" t="s">
        <v>4257</v>
      </c>
      <c r="B2" s="1381" t="s">
        <v>4258</v>
      </c>
      <c r="C2" s="1382"/>
      <c r="D2" s="1382"/>
      <c r="E2" s="1382"/>
      <c r="F2" s="1382"/>
      <c r="G2" s="1383"/>
    </row>
    <row r="3" spans="1:10">
      <c r="B3" s="1384" t="s">
        <v>4259</v>
      </c>
      <c r="C3" s="829"/>
      <c r="D3" s="829"/>
      <c r="E3" s="829"/>
      <c r="F3" s="829"/>
      <c r="G3" s="1385"/>
    </row>
    <row r="4" spans="1:10" ht="13.5" thickBot="1">
      <c r="B4" s="1386" t="s">
        <v>4260</v>
      </c>
      <c r="C4" s="1387"/>
      <c r="D4" s="1387"/>
      <c r="E4" s="1387"/>
      <c r="F4" s="1387"/>
      <c r="G4" s="1388"/>
    </row>
    <row r="6" spans="1:10">
      <c r="B6" s="818"/>
      <c r="C6" s="831" t="s">
        <v>3977</v>
      </c>
    </row>
    <row r="7" spans="1:10" ht="13.5" thickBot="1"/>
    <row r="8" spans="1:10">
      <c r="B8" s="1389" t="s">
        <v>3978</v>
      </c>
      <c r="C8" s="1390"/>
      <c r="D8" s="1390"/>
      <c r="E8" s="1391"/>
    </row>
    <row r="9" spans="1:10">
      <c r="B9" s="1392" t="s">
        <v>1773</v>
      </c>
      <c r="C9" s="1096"/>
      <c r="D9" s="1393">
        <v>21</v>
      </c>
      <c r="E9" s="1394" t="s">
        <v>212</v>
      </c>
    </row>
    <row r="10" spans="1:10" ht="13.5" thickBot="1">
      <c r="B10" s="1395" t="s">
        <v>1774</v>
      </c>
      <c r="C10" s="1396"/>
      <c r="D10" s="1397">
        <v>50</v>
      </c>
      <c r="E10" s="1398" t="s">
        <v>212</v>
      </c>
      <c r="J10" s="963"/>
    </row>
    <row r="11" spans="1:10" ht="13.5" thickBot="1"/>
    <row r="12" spans="1:10" ht="13.5" thickBot="1">
      <c r="B12" s="1405" t="s">
        <v>2486</v>
      </c>
      <c r="C12" s="1406"/>
      <c r="D12" s="1445">
        <v>1.3809523809523809</v>
      </c>
      <c r="E12" s="1408"/>
      <c r="F12" s="831" t="s">
        <v>4261</v>
      </c>
    </row>
    <row r="13" spans="1:10" ht="13.5" thickBot="1">
      <c r="D13" s="1484"/>
    </row>
    <row r="14" spans="1:10" ht="13.5" thickBot="1">
      <c r="B14" s="1405" t="s">
        <v>1959</v>
      </c>
      <c r="C14" s="1406"/>
      <c r="D14" s="1445">
        <v>36.206896551724135</v>
      </c>
      <c r="E14" s="1408" t="s">
        <v>212</v>
      </c>
      <c r="F14" s="831" t="s">
        <v>4262</v>
      </c>
    </row>
  </sheetData>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0"/>
  <dimension ref="A1:H31"/>
  <sheetViews>
    <sheetView zoomScale="90" zoomScaleNormal="90" workbookViewId="0">
      <selection activeCell="H51" sqref="H51"/>
    </sheetView>
  </sheetViews>
  <sheetFormatPr baseColWidth="10" defaultColWidth="11.42578125" defaultRowHeight="15"/>
  <cols>
    <col min="1" max="1" width="11.42578125" style="73"/>
    <col min="2" max="2" width="34.42578125" style="73" customWidth="1"/>
    <col min="3" max="3" width="13.85546875" style="73" customWidth="1"/>
    <col min="4" max="4" width="11.42578125" style="73"/>
    <col min="5" max="5" width="14.85546875" style="73" customWidth="1"/>
    <col min="6" max="16384" width="11.42578125" style="73"/>
  </cols>
  <sheetData>
    <row r="1" spans="1:8">
      <c r="A1" s="1579"/>
      <c r="B1" s="1579"/>
      <c r="C1" s="1579"/>
      <c r="D1" s="1579"/>
      <c r="E1" s="1579"/>
      <c r="F1" s="1579"/>
      <c r="G1" s="1579"/>
      <c r="H1" s="1579"/>
    </row>
    <row r="2" spans="1:8">
      <c r="A2" s="1579"/>
      <c r="B2" s="1579"/>
      <c r="C2" s="1579"/>
      <c r="D2" s="1579"/>
      <c r="E2" s="1579"/>
      <c r="F2" s="1579"/>
      <c r="G2" s="1579"/>
      <c r="H2" s="1579"/>
    </row>
    <row r="3" spans="1:8">
      <c r="A3" s="1579"/>
      <c r="B3" s="1579" t="s">
        <v>222</v>
      </c>
      <c r="C3" s="1579"/>
      <c r="D3" s="1579"/>
      <c r="E3" s="1579"/>
      <c r="F3" s="1579"/>
      <c r="G3" s="1579"/>
      <c r="H3" s="1579"/>
    </row>
    <row r="4" spans="1:8">
      <c r="A4" s="1579"/>
      <c r="B4" s="1579"/>
      <c r="C4" s="1579"/>
      <c r="D4" s="1579"/>
      <c r="E4" s="1579"/>
      <c r="F4" s="1579"/>
      <c r="G4" s="1579"/>
      <c r="H4" s="1579"/>
    </row>
    <row r="5" spans="1:8">
      <c r="A5" s="1579"/>
      <c r="B5" s="1579" t="s">
        <v>223</v>
      </c>
      <c r="C5" s="1581"/>
      <c r="D5" s="1579"/>
      <c r="E5" s="1579"/>
      <c r="F5" s="1579"/>
      <c r="G5" s="1579"/>
      <c r="H5" s="1587"/>
    </row>
    <row r="6" spans="1:8">
      <c r="A6" s="1579"/>
      <c r="B6" s="1579"/>
      <c r="C6" s="1581"/>
      <c r="D6" s="1579"/>
      <c r="E6" s="1579"/>
      <c r="F6" s="1579"/>
      <c r="G6" s="1579"/>
      <c r="H6" s="1579"/>
    </row>
    <row r="7" spans="1:8">
      <c r="A7" s="1579"/>
      <c r="B7" s="1580" t="s">
        <v>224</v>
      </c>
      <c r="C7" s="1585">
        <v>54</v>
      </c>
      <c r="D7" s="1579" t="s">
        <v>212</v>
      </c>
      <c r="E7" s="1579"/>
      <c r="F7" s="1579"/>
      <c r="G7" s="1579"/>
      <c r="H7" s="1587"/>
    </row>
    <row r="8" spans="1:8">
      <c r="A8" s="1579"/>
      <c r="B8" s="1580" t="s">
        <v>225</v>
      </c>
      <c r="C8" s="1586">
        <v>134.5</v>
      </c>
      <c r="D8" s="1579" t="s">
        <v>212</v>
      </c>
      <c r="E8" s="1579"/>
      <c r="F8" s="1579"/>
      <c r="G8" s="1579"/>
      <c r="H8" s="1579"/>
    </row>
    <row r="9" spans="1:8">
      <c r="A9" s="1579"/>
      <c r="B9" s="1579"/>
      <c r="C9" s="1581"/>
      <c r="D9" s="1579"/>
      <c r="E9" s="1579"/>
      <c r="F9" s="1579"/>
      <c r="G9" s="1579"/>
      <c r="H9" s="1587"/>
    </row>
    <row r="10" spans="1:8">
      <c r="A10" s="1579"/>
      <c r="B10" s="1579" t="s">
        <v>226</v>
      </c>
      <c r="C10" s="1581"/>
      <c r="D10" s="1579"/>
      <c r="E10" s="1579"/>
      <c r="F10" s="1579"/>
      <c r="G10" s="1579"/>
      <c r="H10" s="1579"/>
    </row>
    <row r="11" spans="1:8">
      <c r="A11" s="1579"/>
      <c r="B11" s="1579"/>
      <c r="C11" s="1581"/>
      <c r="D11" s="1579"/>
      <c r="E11" s="1579"/>
      <c r="F11" s="1579"/>
      <c r="G11" s="1579"/>
      <c r="H11" s="1587"/>
    </row>
    <row r="12" spans="1:8">
      <c r="A12" s="1579"/>
      <c r="B12" s="1580" t="s">
        <v>227</v>
      </c>
      <c r="C12" s="1581">
        <f>54*134.5</f>
        <v>7263</v>
      </c>
      <c r="D12" s="1579" t="s">
        <v>215</v>
      </c>
      <c r="E12" s="1579" t="s">
        <v>228</v>
      </c>
      <c r="F12" s="1579"/>
      <c r="G12" s="1579"/>
      <c r="H12" s="1579"/>
    </row>
    <row r="13" spans="1:8">
      <c r="A13" s="1579"/>
      <c r="B13" s="1580" t="s">
        <v>227</v>
      </c>
      <c r="C13" s="1584">
        <f>C7*C8</f>
        <v>7263</v>
      </c>
      <c r="D13" s="1579" t="s">
        <v>215</v>
      </c>
      <c r="E13" s="1579" t="s">
        <v>229</v>
      </c>
      <c r="F13" s="1579"/>
      <c r="G13" s="1579"/>
      <c r="H13" s="1587"/>
    </row>
    <row r="14" spans="1:8">
      <c r="A14" s="1579"/>
      <c r="B14" s="1580"/>
      <c r="C14" s="1581"/>
      <c r="D14" s="1579"/>
      <c r="E14" s="1579"/>
      <c r="F14" s="1579"/>
      <c r="G14" s="1579"/>
      <c r="H14" s="1579"/>
    </row>
    <row r="15" spans="1:8">
      <c r="A15" s="1579"/>
      <c r="B15" s="1580" t="s">
        <v>230</v>
      </c>
      <c r="C15" s="1584">
        <f>2*C7+2*C8</f>
        <v>377</v>
      </c>
      <c r="D15" s="1579" t="s">
        <v>212</v>
      </c>
      <c r="E15" s="1579"/>
      <c r="F15" s="1579"/>
      <c r="G15" s="1579"/>
      <c r="H15" s="1587"/>
    </row>
    <row r="16" spans="1:8">
      <c r="A16" s="1579"/>
      <c r="B16" s="1580"/>
      <c r="C16" s="1581"/>
      <c r="D16" s="1579"/>
      <c r="E16" s="1579"/>
      <c r="F16" s="1579"/>
      <c r="G16" s="1579"/>
      <c r="H16" s="1579"/>
    </row>
    <row r="17" spans="1:8">
      <c r="A17" s="1579"/>
      <c r="B17" s="1579" t="s">
        <v>231</v>
      </c>
      <c r="C17" s="1579" t="str">
        <f>"Die Rechteckfläche umfasst " &amp; ROUND(C13,2) &amp; " cm²."</f>
        <v>Die Rechteckfläche umfasst 7263 cm².</v>
      </c>
      <c r="D17" s="1579"/>
      <c r="E17" s="1579"/>
      <c r="F17" s="1579"/>
      <c r="G17" s="1579"/>
      <c r="H17" s="1587"/>
    </row>
    <row r="18" spans="1:8">
      <c r="A18" s="1579"/>
      <c r="B18" s="1581"/>
      <c r="C18" s="1581"/>
      <c r="D18" s="1581"/>
      <c r="E18" s="1581"/>
      <c r="F18" s="1579"/>
      <c r="G18" s="1579"/>
      <c r="H18" s="1579"/>
    </row>
    <row r="19" spans="1:8">
      <c r="A19" s="1579"/>
      <c r="B19" s="1581"/>
      <c r="C19" s="1581"/>
      <c r="D19" s="1581"/>
      <c r="E19" s="1581"/>
      <c r="F19" s="1579"/>
      <c r="G19" s="1579"/>
      <c r="H19" s="1587"/>
    </row>
    <row r="20" spans="1:8">
      <c r="A20" s="1579"/>
      <c r="B20" s="1581"/>
      <c r="C20" s="1581"/>
      <c r="D20" s="1581"/>
      <c r="E20" s="1581"/>
      <c r="F20" s="1579"/>
      <c r="G20" s="1579"/>
      <c r="H20" s="1579"/>
    </row>
    <row r="21" spans="1:8">
      <c r="A21" s="1579"/>
      <c r="B21" s="1581"/>
      <c r="C21" s="1581"/>
      <c r="D21" s="1581"/>
      <c r="E21" s="1581"/>
      <c r="F21" s="1579"/>
      <c r="G21" s="1579"/>
      <c r="H21" s="1587"/>
    </row>
    <row r="22" spans="1:8">
      <c r="A22" s="1579"/>
      <c r="B22" s="1579"/>
      <c r="C22" s="1579"/>
      <c r="D22" s="1579"/>
      <c r="E22" s="1579"/>
      <c r="F22" s="1579"/>
      <c r="G22" s="1579"/>
      <c r="H22" s="1579"/>
    </row>
    <row r="23" spans="1:8">
      <c r="A23" s="1579"/>
      <c r="B23" s="1580" t="s">
        <v>232</v>
      </c>
      <c r="C23" s="1582">
        <v>2.25</v>
      </c>
      <c r="D23" s="1579"/>
      <c r="E23" s="1579"/>
      <c r="F23" s="1579"/>
      <c r="G23" s="1579"/>
      <c r="H23" s="1587"/>
    </row>
    <row r="24" spans="1:8">
      <c r="A24" s="1579"/>
      <c r="B24" s="1580" t="s">
        <v>233</v>
      </c>
      <c r="C24" s="1583">
        <v>0.19</v>
      </c>
      <c r="D24" s="1579"/>
      <c r="E24" s="1579"/>
      <c r="F24" s="1579"/>
      <c r="G24" s="1579"/>
      <c r="H24" s="1579"/>
    </row>
    <row r="25" spans="1:8">
      <c r="A25" s="1579"/>
      <c r="B25" s="1580"/>
      <c r="C25" s="1579"/>
      <c r="D25" s="1579"/>
      <c r="E25" s="1579"/>
      <c r="F25" s="1579"/>
      <c r="G25" s="1579"/>
      <c r="H25" s="1579"/>
    </row>
    <row r="26" spans="1:8">
      <c r="A26" s="1579"/>
      <c r="B26" s="1580" t="s">
        <v>234</v>
      </c>
      <c r="C26" s="1588">
        <f>C13*C23</f>
        <v>16341.75</v>
      </c>
      <c r="D26" s="1579"/>
      <c r="E26" s="1579"/>
      <c r="F26" s="1579"/>
      <c r="G26" s="1579"/>
      <c r="H26" s="1579"/>
    </row>
    <row r="27" spans="1:8">
      <c r="A27" s="1579"/>
      <c r="B27" s="1580" t="s">
        <v>235</v>
      </c>
      <c r="C27" s="1588">
        <f>C26*C24</f>
        <v>3104.9324999999999</v>
      </c>
      <c r="D27" s="1579"/>
      <c r="E27" s="1579" t="s">
        <v>236</v>
      </c>
      <c r="F27" s="1579"/>
      <c r="G27" s="1579"/>
      <c r="H27" s="1579"/>
    </row>
    <row r="28" spans="1:8">
      <c r="A28" s="1579"/>
      <c r="B28" s="1580"/>
      <c r="C28" s="1588"/>
      <c r="D28" s="1579"/>
      <c r="E28" s="1579"/>
      <c r="F28" s="1579"/>
      <c r="G28" s="1579"/>
      <c r="H28" s="1579"/>
    </row>
    <row r="29" spans="1:8">
      <c r="A29" s="1579"/>
      <c r="B29" s="1580" t="s">
        <v>237</v>
      </c>
      <c r="C29" s="1588">
        <f>C26+C27</f>
        <v>19446.682499999999</v>
      </c>
      <c r="D29" s="1579"/>
      <c r="E29" s="1579"/>
      <c r="F29" s="1579"/>
      <c r="G29" s="1579"/>
      <c r="H29" s="1579"/>
    </row>
    <row r="30" spans="1:8">
      <c r="A30" s="1579"/>
      <c r="B30" s="1579"/>
      <c r="C30" s="1579"/>
      <c r="D30" s="1579"/>
      <c r="E30" s="1579"/>
      <c r="F30" s="1579"/>
      <c r="G30" s="1579"/>
      <c r="H30" s="1579"/>
    </row>
    <row r="31" spans="1:8">
      <c r="A31" s="1579"/>
    </row>
  </sheetData>
  <pageMargins left="0.7" right="0.7" top="0.78740157499999996" bottom="0.78740157499999996"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7"/>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4263</v>
      </c>
      <c r="B2" s="1381" t="s">
        <v>4264</v>
      </c>
      <c r="C2" s="1382"/>
      <c r="D2" s="1382"/>
      <c r="E2" s="1382"/>
      <c r="F2" s="1382"/>
      <c r="G2" s="1383"/>
    </row>
    <row r="3" spans="1:7">
      <c r="B3" s="1384" t="s">
        <v>4265</v>
      </c>
      <c r="C3" s="829"/>
      <c r="D3" s="829"/>
      <c r="E3" s="829"/>
      <c r="F3" s="829"/>
      <c r="G3" s="1385"/>
    </row>
    <row r="4" spans="1:7" ht="13.5" thickBot="1">
      <c r="B4" s="1386" t="s">
        <v>4266</v>
      </c>
      <c r="C4" s="1387"/>
      <c r="D4" s="1387"/>
      <c r="E4" s="1387"/>
      <c r="F4" s="1387"/>
      <c r="G4" s="1388"/>
    </row>
    <row r="6" spans="1:7">
      <c r="B6" s="818"/>
      <c r="C6" s="831" t="s">
        <v>3977</v>
      </c>
    </row>
    <row r="7" spans="1:7" ht="13.5" thickBot="1"/>
    <row r="8" spans="1:7">
      <c r="B8" s="1389" t="s">
        <v>3978</v>
      </c>
      <c r="C8" s="1390"/>
      <c r="D8" s="1390"/>
      <c r="E8" s="1391"/>
    </row>
    <row r="9" spans="1:7">
      <c r="B9" s="1392" t="s">
        <v>4000</v>
      </c>
      <c r="C9" s="1096"/>
      <c r="D9" s="1393">
        <v>2600</v>
      </c>
      <c r="E9" s="1394" t="s">
        <v>212</v>
      </c>
    </row>
    <row r="10" spans="1:7">
      <c r="B10" s="1392" t="s">
        <v>1773</v>
      </c>
      <c r="C10" s="1096"/>
      <c r="D10" s="1393">
        <v>12</v>
      </c>
      <c r="E10" s="1394" t="s">
        <v>212</v>
      </c>
    </row>
    <row r="11" spans="1:7" ht="13.5" thickBot="1">
      <c r="B11" s="1457" t="s">
        <v>1959</v>
      </c>
      <c r="C11" s="1458"/>
      <c r="D11" s="1459">
        <v>1050</v>
      </c>
      <c r="E11" s="1460" t="s">
        <v>212</v>
      </c>
    </row>
    <row r="12" spans="1:7" ht="14.25" thickTop="1" thickBot="1">
      <c r="B12" s="1395" t="s">
        <v>520</v>
      </c>
      <c r="C12" s="1396"/>
      <c r="D12" s="1461">
        <v>22</v>
      </c>
      <c r="E12" s="1398" t="s">
        <v>212</v>
      </c>
    </row>
    <row r="13" spans="1:7" ht="13.5" thickBot="1"/>
    <row r="14" spans="1:7">
      <c r="B14" s="1389" t="s">
        <v>2486</v>
      </c>
      <c r="C14" s="1390"/>
      <c r="D14" s="1444">
        <v>86.5</v>
      </c>
      <c r="E14" s="1391"/>
      <c r="F14" s="831" t="s">
        <v>4192</v>
      </c>
    </row>
    <row r="15" spans="1:7" ht="13.5" thickBot="1">
      <c r="B15" s="1395"/>
      <c r="C15" s="1396"/>
      <c r="D15" s="1404">
        <v>1.1560693641618497E-2</v>
      </c>
      <c r="E15" s="1398"/>
      <c r="F15" s="831" t="s">
        <v>3982</v>
      </c>
    </row>
    <row r="16" spans="1:7" ht="13.5" thickBot="1">
      <c r="D16" s="1484"/>
    </row>
    <row r="17" spans="2:6" ht="13.5" thickBot="1">
      <c r="B17" s="1405" t="s">
        <v>520</v>
      </c>
      <c r="C17" s="1406"/>
      <c r="D17" s="1446">
        <v>30.057803468208093</v>
      </c>
      <c r="E17" s="1408" t="s">
        <v>212</v>
      </c>
      <c r="F17" s="831" t="s">
        <v>4267</v>
      </c>
    </row>
  </sheetData>
  <pageMargins left="0.78740157499999996" right="0.78740157499999996" top="0.984251969" bottom="0.984251969" header="0.4921259845" footer="0.4921259845"/>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6"/>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4268</v>
      </c>
      <c r="B2" s="1381" t="s">
        <v>4269</v>
      </c>
      <c r="C2" s="1382"/>
      <c r="D2" s="1382"/>
      <c r="E2" s="1382"/>
      <c r="F2" s="1382"/>
      <c r="G2" s="1383"/>
    </row>
    <row r="3" spans="1:7">
      <c r="B3" s="1384" t="s">
        <v>4270</v>
      </c>
      <c r="C3" s="829"/>
      <c r="D3" s="829"/>
      <c r="E3" s="829"/>
      <c r="F3" s="829"/>
      <c r="G3" s="1385"/>
    </row>
    <row r="4" spans="1:7">
      <c r="B4" s="1384" t="s">
        <v>4271</v>
      </c>
      <c r="C4" s="829"/>
      <c r="D4" s="829"/>
      <c r="E4" s="829"/>
      <c r="F4" s="829"/>
      <c r="G4" s="1385"/>
    </row>
    <row r="5" spans="1:7" ht="13.5" thickBot="1">
      <c r="B5" s="1386" t="s">
        <v>4272</v>
      </c>
      <c r="C5" s="1387"/>
      <c r="D5" s="1387"/>
      <c r="E5" s="1387"/>
      <c r="F5" s="1387"/>
      <c r="G5" s="1388"/>
    </row>
    <row r="7" spans="1:7">
      <c r="B7" s="818"/>
      <c r="C7" s="831" t="s">
        <v>3977</v>
      </c>
    </row>
    <row r="8" spans="1:7" ht="13.5" thickBot="1"/>
    <row r="9" spans="1:7">
      <c r="B9" s="1389" t="s">
        <v>3978</v>
      </c>
      <c r="C9" s="1390"/>
      <c r="D9" s="1390"/>
      <c r="E9" s="1391"/>
    </row>
    <row r="10" spans="1:7">
      <c r="B10" s="1392" t="s">
        <v>1959</v>
      </c>
      <c r="C10" s="1096"/>
      <c r="D10" s="1393">
        <v>168</v>
      </c>
      <c r="E10" s="1394" t="s">
        <v>212</v>
      </c>
    </row>
    <row r="11" spans="1:7" ht="13.5" thickBot="1">
      <c r="B11" s="1395" t="s">
        <v>1773</v>
      </c>
      <c r="C11" s="1396"/>
      <c r="D11" s="1397">
        <v>8</v>
      </c>
      <c r="E11" s="1398" t="s">
        <v>212</v>
      </c>
    </row>
    <row r="12" spans="1:7" ht="13.5" thickBot="1"/>
    <row r="13" spans="1:7">
      <c r="B13" s="1389" t="s">
        <v>2486</v>
      </c>
      <c r="C13" s="1390"/>
      <c r="D13" s="1390">
        <v>20</v>
      </c>
      <c r="E13" s="1391"/>
      <c r="F13" s="831" t="s">
        <v>4273</v>
      </c>
    </row>
    <row r="14" spans="1:7" ht="13.5" thickBot="1">
      <c r="B14" s="1395"/>
      <c r="C14" s="1396"/>
      <c r="D14" s="1396">
        <v>0.05</v>
      </c>
      <c r="E14" s="1398"/>
      <c r="F14" s="831" t="s">
        <v>3982</v>
      </c>
    </row>
    <row r="15" spans="1:7" ht="13.5" thickBot="1"/>
    <row r="16" spans="1:7" ht="13.5" thickBot="1">
      <c r="B16" s="1405" t="s">
        <v>1774</v>
      </c>
      <c r="C16" s="1406"/>
      <c r="D16" s="1455">
        <v>8.4</v>
      </c>
      <c r="E16" s="1408" t="s">
        <v>212</v>
      </c>
      <c r="F16" s="831" t="s">
        <v>4274</v>
      </c>
    </row>
  </sheetData>
  <pageMargins left="0.78740157499999996" right="0.78740157499999996" top="0.984251969" bottom="0.984251969" header="0.4921259845" footer="0.4921259845"/>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4275</v>
      </c>
      <c r="B2" s="1381" t="s">
        <v>4276</v>
      </c>
      <c r="C2" s="1382"/>
      <c r="D2" s="1382"/>
      <c r="E2" s="1382"/>
      <c r="F2" s="1382"/>
      <c r="G2" s="1382"/>
      <c r="H2" s="1383"/>
    </row>
    <row r="3" spans="1:8" ht="13.5" thickBot="1">
      <c r="B3" s="1386" t="s">
        <v>4277</v>
      </c>
      <c r="C3" s="1387"/>
      <c r="D3" s="1387"/>
      <c r="E3" s="1387"/>
      <c r="F3" s="1387"/>
      <c r="G3" s="1387"/>
      <c r="H3" s="1388"/>
    </row>
    <row r="5" spans="1:8">
      <c r="B5" s="818"/>
      <c r="C5" s="831" t="s">
        <v>3977</v>
      </c>
    </row>
    <row r="6" spans="1:8" ht="13.5" thickBot="1"/>
    <row r="7" spans="1:8">
      <c r="B7" s="1389" t="s">
        <v>3978</v>
      </c>
      <c r="C7" s="1390"/>
      <c r="D7" s="1390"/>
      <c r="E7" s="1391"/>
    </row>
    <row r="8" spans="1:8">
      <c r="B8" s="1392" t="s">
        <v>1774</v>
      </c>
      <c r="C8" s="1096"/>
      <c r="D8" s="1393">
        <v>25.2</v>
      </c>
      <c r="E8" s="1394" t="s">
        <v>212</v>
      </c>
    </row>
    <row r="9" spans="1:8" ht="13.5" thickBot="1">
      <c r="B9" s="1395" t="s">
        <v>1773</v>
      </c>
      <c r="C9" s="1396"/>
      <c r="D9" s="1397">
        <v>21</v>
      </c>
      <c r="E9" s="1398" t="s">
        <v>212</v>
      </c>
    </row>
    <row r="10" spans="1:8" ht="13.5" thickBot="1"/>
    <row r="11" spans="1:8" ht="13.5" thickBot="1">
      <c r="B11" s="1405" t="s">
        <v>2486</v>
      </c>
      <c r="C11" s="1406"/>
      <c r="D11" s="1406">
        <v>0.2</v>
      </c>
      <c r="E11" s="1408"/>
      <c r="F11" s="831" t="s">
        <v>4278</v>
      </c>
    </row>
    <row r="12" spans="1:8" ht="13.5" thickBot="1"/>
    <row r="13" spans="1:8" ht="13.5" thickBot="1">
      <c r="B13" s="1405" t="s">
        <v>1959</v>
      </c>
      <c r="C13" s="1406"/>
      <c r="D13" s="1455">
        <v>126</v>
      </c>
      <c r="E13" s="1408" t="s">
        <v>212</v>
      </c>
      <c r="F13" s="831" t="s">
        <v>4279</v>
      </c>
    </row>
  </sheetData>
  <pageMargins left="0.78740157499999996" right="0.78740157499999996" top="0.984251969" bottom="0.984251969" header="0.4921259845" footer="0.4921259845"/>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4"/>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4280</v>
      </c>
      <c r="B2" s="1381" t="s">
        <v>4281</v>
      </c>
      <c r="C2" s="1382"/>
      <c r="D2" s="1382"/>
      <c r="E2" s="1382"/>
      <c r="F2" s="1382"/>
      <c r="G2" s="1382"/>
      <c r="H2" s="1383"/>
    </row>
    <row r="3" spans="1:8" ht="13.5" thickBot="1">
      <c r="B3" s="1386" t="s">
        <v>4282</v>
      </c>
      <c r="C3" s="1387"/>
      <c r="D3" s="1387"/>
      <c r="E3" s="1387"/>
      <c r="F3" s="1387"/>
      <c r="G3" s="1387"/>
      <c r="H3" s="1388"/>
    </row>
    <row r="5" spans="1:8">
      <c r="B5" s="818"/>
      <c r="C5" s="831" t="s">
        <v>3977</v>
      </c>
    </row>
    <row r="6" spans="1:8" ht="13.5" thickBot="1"/>
    <row r="7" spans="1:8">
      <c r="B7" s="1389" t="s">
        <v>3978</v>
      </c>
      <c r="C7" s="1390"/>
      <c r="D7" s="1390"/>
      <c r="E7" s="1391"/>
    </row>
    <row r="8" spans="1:8">
      <c r="B8" s="1392" t="s">
        <v>1959</v>
      </c>
      <c r="C8" s="1096"/>
      <c r="D8" s="1393">
        <v>216</v>
      </c>
      <c r="E8" s="1394" t="s">
        <v>212</v>
      </c>
    </row>
    <row r="9" spans="1:8" ht="13.5" thickBot="1">
      <c r="B9" s="1395" t="s">
        <v>1774</v>
      </c>
      <c r="C9" s="1396"/>
      <c r="D9" s="1397">
        <v>6</v>
      </c>
      <c r="E9" s="1398" t="s">
        <v>212</v>
      </c>
    </row>
    <row r="10" spans="1:8" ht="13.5" thickBot="1"/>
    <row r="11" spans="1:8">
      <c r="B11" s="1389" t="s">
        <v>2486</v>
      </c>
      <c r="C11" s="1390"/>
      <c r="D11" s="1399">
        <v>2.7777777777777776E-2</v>
      </c>
      <c r="E11" s="1391"/>
      <c r="F11" s="831" t="s">
        <v>4283</v>
      </c>
    </row>
    <row r="12" spans="1:8" ht="13.5" thickBot="1">
      <c r="B12" s="1395" t="s">
        <v>2663</v>
      </c>
      <c r="C12" s="1396"/>
      <c r="D12" s="1449">
        <v>37</v>
      </c>
      <c r="E12" s="1398"/>
      <c r="F12" s="831" t="s">
        <v>4284</v>
      </c>
    </row>
    <row r="13" spans="1:8" ht="13.5" thickBot="1"/>
    <row r="14" spans="1:8" ht="13.5" thickBot="1">
      <c r="B14" s="1405" t="s">
        <v>1773</v>
      </c>
      <c r="C14" s="1406"/>
      <c r="D14" s="1445">
        <v>5.8378378378378377</v>
      </c>
      <c r="E14" s="1408" t="s">
        <v>212</v>
      </c>
      <c r="F14" s="831" t="s">
        <v>4285</v>
      </c>
    </row>
  </sheetData>
  <pageMargins left="0.78740157499999996" right="0.78740157499999996" top="0.984251969" bottom="0.984251969" header="0.4921259845" footer="0.4921259845"/>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4"/>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4286</v>
      </c>
      <c r="B2" s="1381" t="s">
        <v>4287</v>
      </c>
      <c r="C2" s="1382"/>
      <c r="D2" s="1382"/>
      <c r="E2" s="1382"/>
      <c r="F2" s="1382"/>
      <c r="G2" s="1382"/>
      <c r="H2" s="1383"/>
    </row>
    <row r="3" spans="1:8" ht="13.5" thickBot="1">
      <c r="B3" s="1386" t="s">
        <v>4288</v>
      </c>
      <c r="C3" s="1387"/>
      <c r="D3" s="1387"/>
      <c r="E3" s="1387"/>
      <c r="F3" s="1387"/>
      <c r="G3" s="1387"/>
      <c r="H3" s="1388"/>
    </row>
    <row r="5" spans="1:8">
      <c r="B5" s="818"/>
      <c r="C5" s="831" t="s">
        <v>3977</v>
      </c>
    </row>
    <row r="6" spans="1:8" ht="13.5" thickBot="1"/>
    <row r="7" spans="1:8">
      <c r="B7" s="1389" t="s">
        <v>3978</v>
      </c>
      <c r="C7" s="1390"/>
      <c r="D7" s="1390"/>
      <c r="E7" s="1391"/>
    </row>
    <row r="8" spans="1:8">
      <c r="B8" s="1392" t="s">
        <v>1773</v>
      </c>
      <c r="C8" s="1096"/>
      <c r="D8" s="1393">
        <v>18</v>
      </c>
      <c r="E8" s="1394" t="s">
        <v>212</v>
      </c>
    </row>
    <row r="9" spans="1:8" ht="13.5" thickBot="1">
      <c r="B9" s="1395" t="s">
        <v>1774</v>
      </c>
      <c r="C9" s="1396"/>
      <c r="D9" s="1397">
        <v>54</v>
      </c>
      <c r="E9" s="1398" t="s">
        <v>212</v>
      </c>
    </row>
    <row r="10" spans="1:8" ht="13.5" thickBot="1"/>
    <row r="11" spans="1:8">
      <c r="B11" s="1389" t="s">
        <v>2486</v>
      </c>
      <c r="C11" s="1390"/>
      <c r="D11" s="1390">
        <v>2</v>
      </c>
      <c r="E11" s="1391"/>
      <c r="F11" s="831" t="s">
        <v>4289</v>
      </c>
    </row>
    <row r="12" spans="1:8" ht="13.5" thickBot="1">
      <c r="B12" s="1395"/>
      <c r="C12" s="1396"/>
      <c r="D12" s="1396"/>
      <c r="E12" s="1398"/>
    </row>
    <row r="13" spans="1:8" ht="13.5" thickBot="1"/>
    <row r="14" spans="1:8" ht="13.5" thickBot="1">
      <c r="B14" s="1405" t="s">
        <v>1959</v>
      </c>
      <c r="C14" s="1406"/>
      <c r="D14" s="1455">
        <v>27</v>
      </c>
      <c r="E14" s="1408" t="s">
        <v>212</v>
      </c>
      <c r="F14" s="831" t="s">
        <v>4279</v>
      </c>
    </row>
  </sheetData>
  <pageMargins left="0.78740157499999996" right="0.78740157499999996" top="0.984251969" bottom="0.984251969" header="0.4921259845" footer="0.4921259845"/>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
  <sheetViews>
    <sheetView workbookViewId="0">
      <selection activeCell="J26" sqref="J26"/>
    </sheetView>
  </sheetViews>
  <sheetFormatPr baseColWidth="10" defaultColWidth="11.42578125" defaultRowHeight="12.75"/>
  <cols>
    <col min="1" max="16384" width="11.42578125" style="831"/>
  </cols>
  <sheetData>
    <row r="1" spans="1:6" ht="13.5" thickBot="1"/>
    <row r="2" spans="1:6">
      <c r="A2" s="963" t="s">
        <v>4290</v>
      </c>
      <c r="B2" s="1381" t="s">
        <v>4291</v>
      </c>
      <c r="C2" s="1382"/>
      <c r="D2" s="1382"/>
      <c r="E2" s="1382"/>
      <c r="F2" s="1383"/>
    </row>
    <row r="3" spans="1:6" ht="13.5" thickBot="1">
      <c r="B3" s="1386" t="s">
        <v>4292</v>
      </c>
      <c r="C3" s="1387"/>
      <c r="D3" s="1387"/>
      <c r="E3" s="1387"/>
      <c r="F3" s="1388"/>
    </row>
    <row r="5" spans="1:6">
      <c r="B5" s="818"/>
      <c r="C5" s="831" t="s">
        <v>3977</v>
      </c>
    </row>
    <row r="6" spans="1:6" ht="13.5" thickBot="1"/>
    <row r="7" spans="1:6">
      <c r="B7" s="1389" t="s">
        <v>3978</v>
      </c>
      <c r="C7" s="1390"/>
      <c r="D7" s="1390"/>
      <c r="E7" s="1391"/>
    </row>
    <row r="8" spans="1:6">
      <c r="B8" s="1392" t="s">
        <v>1773</v>
      </c>
      <c r="C8" s="1096"/>
      <c r="D8" s="1393">
        <v>8</v>
      </c>
      <c r="E8" s="1394" t="s">
        <v>212</v>
      </c>
    </row>
    <row r="9" spans="1:6" ht="13.5" thickBot="1">
      <c r="B9" s="1395" t="s">
        <v>1959</v>
      </c>
      <c r="C9" s="1396"/>
      <c r="D9" s="1397">
        <v>160</v>
      </c>
      <c r="E9" s="1398" t="s">
        <v>212</v>
      </c>
    </row>
    <row r="10" spans="1:6" ht="13.5" thickBot="1"/>
    <row r="11" spans="1:6">
      <c r="B11" s="1389" t="s">
        <v>2486</v>
      </c>
      <c r="C11" s="1390"/>
      <c r="D11" s="1390">
        <v>19</v>
      </c>
      <c r="E11" s="1391"/>
      <c r="F11" s="831" t="s">
        <v>4293</v>
      </c>
    </row>
    <row r="12" spans="1:6" ht="13.5" thickBot="1">
      <c r="B12" s="1395"/>
      <c r="C12" s="1396"/>
      <c r="D12" s="1404">
        <v>5.2631578947368418E-2</v>
      </c>
      <c r="E12" s="1398"/>
    </row>
    <row r="13" spans="1:6" ht="13.5" thickBot="1"/>
    <row r="14" spans="1:6" ht="13.5" thickBot="1">
      <c r="B14" s="1405" t="s">
        <v>1774</v>
      </c>
      <c r="C14" s="1406"/>
      <c r="D14" s="1445">
        <v>8.4210526315789469</v>
      </c>
      <c r="E14" s="1408" t="s">
        <v>212</v>
      </c>
      <c r="F14" s="831" t="s">
        <v>4294</v>
      </c>
    </row>
  </sheetData>
  <pageMargins left="0.78740157499999996" right="0.78740157499999996" top="0.984251969" bottom="0.984251969" header="0.4921259845" footer="0.4921259845"/>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4"/>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4295</v>
      </c>
      <c r="B2" s="1381" t="s">
        <v>4296</v>
      </c>
      <c r="C2" s="1382"/>
      <c r="D2" s="1382"/>
      <c r="E2" s="1382"/>
      <c r="F2" s="1382"/>
      <c r="G2" s="1383"/>
    </row>
    <row r="3" spans="1:7" ht="13.5" thickBot="1">
      <c r="B3" s="1386" t="s">
        <v>4297</v>
      </c>
      <c r="C3" s="1387"/>
      <c r="D3" s="1387"/>
      <c r="E3" s="1387"/>
      <c r="F3" s="1387"/>
      <c r="G3" s="1388"/>
    </row>
    <row r="5" spans="1:7">
      <c r="B5" s="818"/>
      <c r="C5" s="831" t="s">
        <v>3977</v>
      </c>
    </row>
    <row r="6" spans="1:7" ht="13.5" thickBot="1"/>
    <row r="7" spans="1:7">
      <c r="B7" s="1389" t="s">
        <v>3978</v>
      </c>
      <c r="C7" s="1390"/>
      <c r="D7" s="1390"/>
      <c r="E7" s="1391"/>
    </row>
    <row r="8" spans="1:7">
      <c r="B8" s="1392" t="s">
        <v>1774</v>
      </c>
      <c r="C8" s="1096"/>
      <c r="D8" s="1393">
        <v>24</v>
      </c>
      <c r="E8" s="1394" t="s">
        <v>212</v>
      </c>
    </row>
    <row r="9" spans="1:7" ht="13.5" thickBot="1">
      <c r="B9" s="1395" t="s">
        <v>1959</v>
      </c>
      <c r="C9" s="1396"/>
      <c r="D9" s="1397">
        <v>168</v>
      </c>
      <c r="E9" s="1398" t="s">
        <v>212</v>
      </c>
    </row>
    <row r="10" spans="1:7" ht="13.5" thickBot="1"/>
    <row r="11" spans="1:7">
      <c r="B11" s="1389" t="s">
        <v>2486</v>
      </c>
      <c r="C11" s="1390"/>
      <c r="D11" s="1444">
        <v>0.14285714285714285</v>
      </c>
      <c r="E11" s="1391"/>
      <c r="F11" s="831" t="s">
        <v>4298</v>
      </c>
    </row>
    <row r="12" spans="1:7" ht="13.5" thickBot="1">
      <c r="B12" s="1395" t="s">
        <v>2663</v>
      </c>
      <c r="C12" s="1396"/>
      <c r="D12" s="1449">
        <v>8</v>
      </c>
      <c r="E12" s="1398"/>
      <c r="F12" s="831" t="s">
        <v>4299</v>
      </c>
    </row>
    <row r="13" spans="1:7" ht="13.5" thickBot="1"/>
    <row r="14" spans="1:7" ht="13.5" thickBot="1">
      <c r="B14" s="1405" t="s">
        <v>1773</v>
      </c>
      <c r="C14" s="1406"/>
      <c r="D14" s="1455">
        <v>21</v>
      </c>
      <c r="E14" s="1408" t="s">
        <v>212</v>
      </c>
      <c r="F14" s="831" t="s">
        <v>4300</v>
      </c>
    </row>
  </sheetData>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3"/>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4301</v>
      </c>
      <c r="B2" s="1381" t="s">
        <v>4302</v>
      </c>
      <c r="C2" s="1382"/>
      <c r="D2" s="1382"/>
      <c r="E2" s="1382"/>
      <c r="F2" s="1382"/>
      <c r="G2" s="1383"/>
    </row>
    <row r="3" spans="1:7" ht="13.5" thickBot="1">
      <c r="B3" s="1386" t="s">
        <v>4303</v>
      </c>
      <c r="C3" s="1387"/>
      <c r="D3" s="1387"/>
      <c r="E3" s="1387"/>
      <c r="F3" s="1387"/>
      <c r="G3" s="1388"/>
    </row>
    <row r="5" spans="1:7">
      <c r="B5" s="818"/>
      <c r="C5" s="831" t="s">
        <v>3977</v>
      </c>
    </row>
    <row r="6" spans="1:7" ht="13.5" thickBot="1"/>
    <row r="7" spans="1:7">
      <c r="B7" s="1389" t="s">
        <v>3978</v>
      </c>
      <c r="C7" s="1390"/>
      <c r="D7" s="1390"/>
      <c r="E7" s="1391"/>
    </row>
    <row r="8" spans="1:7">
      <c r="B8" s="1392" t="s">
        <v>1773</v>
      </c>
      <c r="C8" s="1096"/>
      <c r="D8" s="1393">
        <v>10.5</v>
      </c>
      <c r="E8" s="1394" t="s">
        <v>212</v>
      </c>
    </row>
    <row r="9" spans="1:7" ht="13.5" thickBot="1">
      <c r="B9" s="1395" t="s">
        <v>1774</v>
      </c>
      <c r="C9" s="1396"/>
      <c r="D9" s="1397">
        <v>12.6</v>
      </c>
      <c r="E9" s="1398" t="s">
        <v>212</v>
      </c>
    </row>
    <row r="10" spans="1:7" ht="13.5" thickBot="1"/>
    <row r="11" spans="1:7" ht="13.5" thickBot="1">
      <c r="B11" s="1405" t="s">
        <v>2486</v>
      </c>
      <c r="C11" s="1406"/>
      <c r="D11" s="1406">
        <v>0.2</v>
      </c>
      <c r="E11" s="1408"/>
      <c r="F11" s="831" t="s">
        <v>4278</v>
      </c>
    </row>
    <row r="12" spans="1:7" ht="13.5" thickBot="1"/>
    <row r="13" spans="1:7" ht="13.5" thickBot="1">
      <c r="B13" s="1405" t="s">
        <v>1959</v>
      </c>
      <c r="C13" s="1406"/>
      <c r="D13" s="1455">
        <v>63</v>
      </c>
      <c r="E13" s="1408" t="s">
        <v>212</v>
      </c>
      <c r="F13" s="831" t="s">
        <v>4304</v>
      </c>
    </row>
  </sheetData>
  <pageMargins left="0.78740157499999996" right="0.78740157499999996" top="0.984251969" bottom="0.984251969" header="0.4921259845" footer="0.4921259845"/>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4305</v>
      </c>
      <c r="B2" s="1381" t="s">
        <v>4306</v>
      </c>
      <c r="C2" s="1382"/>
      <c r="D2" s="1382"/>
      <c r="E2" s="1382"/>
      <c r="F2" s="1382"/>
      <c r="G2" s="1382"/>
      <c r="H2" s="1383"/>
    </row>
    <row r="3" spans="1:8" ht="13.5" thickBot="1">
      <c r="B3" s="1386" t="s">
        <v>4307</v>
      </c>
      <c r="C3" s="1387"/>
      <c r="D3" s="1387"/>
      <c r="E3" s="1387"/>
      <c r="F3" s="1387"/>
      <c r="G3" s="1387"/>
      <c r="H3" s="1388"/>
    </row>
    <row r="5" spans="1:8">
      <c r="B5" s="818"/>
      <c r="C5" s="831" t="s">
        <v>3977</v>
      </c>
    </row>
    <row r="6" spans="1:8" ht="13.5" thickBot="1"/>
    <row r="7" spans="1:8">
      <c r="B7" s="1389" t="s">
        <v>3978</v>
      </c>
      <c r="C7" s="1390"/>
      <c r="D7" s="1390"/>
      <c r="E7" s="1391"/>
    </row>
    <row r="8" spans="1:8">
      <c r="B8" s="1392" t="s">
        <v>1773</v>
      </c>
      <c r="C8" s="1096"/>
      <c r="D8" s="1393">
        <v>15</v>
      </c>
      <c r="E8" s="1394" t="s">
        <v>212</v>
      </c>
    </row>
    <row r="9" spans="1:8" ht="13.5" thickBot="1">
      <c r="B9" s="1395" t="s">
        <v>1959</v>
      </c>
      <c r="C9" s="1396"/>
      <c r="D9" s="1397">
        <v>26.25</v>
      </c>
      <c r="E9" s="1398" t="s">
        <v>212</v>
      </c>
    </row>
    <row r="10" spans="1:8" ht="13.5" thickBot="1"/>
    <row r="11" spans="1:8" ht="13.5" thickBot="1">
      <c r="B11" s="1405" t="s">
        <v>2486</v>
      </c>
      <c r="C11" s="1406"/>
      <c r="D11" s="1506">
        <v>0.75</v>
      </c>
      <c r="E11" s="1408"/>
      <c r="F11" s="831" t="s">
        <v>4308</v>
      </c>
    </row>
    <row r="12" spans="1:8" ht="13.5" thickBot="1"/>
    <row r="13" spans="1:8" ht="13.5" thickBot="1">
      <c r="B13" s="1405" t="s">
        <v>1774</v>
      </c>
      <c r="C13" s="1406"/>
      <c r="D13" s="1455">
        <v>26.25</v>
      </c>
      <c r="E13" s="1408" t="s">
        <v>212</v>
      </c>
      <c r="F13" s="831" t="s">
        <v>4309</v>
      </c>
    </row>
  </sheetData>
  <pageMargins left="0.78740157499999996" right="0.78740157499999996" top="0.984251969" bottom="0.984251969" header="0.4921259845" footer="0.4921259845"/>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5"/>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4310</v>
      </c>
      <c r="B2" s="1381" t="s">
        <v>4311</v>
      </c>
      <c r="C2" s="1382"/>
      <c r="D2" s="1382"/>
      <c r="E2" s="1382"/>
      <c r="F2" s="1382"/>
      <c r="G2" s="1382"/>
      <c r="H2" s="1383"/>
    </row>
    <row r="3" spans="1:8">
      <c r="B3" s="1384" t="s">
        <v>4312</v>
      </c>
      <c r="C3" s="829"/>
      <c r="D3" s="829"/>
      <c r="E3" s="829"/>
      <c r="F3" s="829"/>
      <c r="G3" s="829"/>
      <c r="H3" s="1385"/>
    </row>
    <row r="4" spans="1:8" ht="13.5" thickBot="1">
      <c r="B4" s="1386" t="s">
        <v>4313</v>
      </c>
      <c r="C4" s="1387"/>
      <c r="D4" s="1387"/>
      <c r="E4" s="1387"/>
      <c r="F4" s="1387"/>
      <c r="G4" s="1387"/>
      <c r="H4" s="1388"/>
    </row>
    <row r="6" spans="1:8">
      <c r="B6" s="818"/>
      <c r="C6" s="831" t="s">
        <v>3977</v>
      </c>
    </row>
    <row r="7" spans="1:8" ht="13.5" thickBot="1"/>
    <row r="8" spans="1:8">
      <c r="B8" s="1389" t="s">
        <v>3978</v>
      </c>
      <c r="C8" s="1390"/>
      <c r="D8" s="1390"/>
      <c r="E8" s="1391"/>
    </row>
    <row r="9" spans="1:8">
      <c r="B9" s="1392" t="s">
        <v>1959</v>
      </c>
      <c r="C9" s="1096"/>
      <c r="D9" s="1393">
        <v>252</v>
      </c>
      <c r="E9" s="1394" t="s">
        <v>212</v>
      </c>
    </row>
    <row r="10" spans="1:8" ht="13.5" thickBot="1">
      <c r="B10" s="1395" t="s">
        <v>1774</v>
      </c>
      <c r="C10" s="1396"/>
      <c r="D10" s="1397">
        <v>42</v>
      </c>
      <c r="E10" s="1398" t="s">
        <v>212</v>
      </c>
    </row>
    <row r="11" spans="1:8" ht="13.5" thickBot="1"/>
    <row r="12" spans="1:8">
      <c r="B12" s="1389" t="s">
        <v>2486</v>
      </c>
      <c r="C12" s="1390"/>
      <c r="D12" s="1444">
        <v>0.16666666666666666</v>
      </c>
      <c r="E12" s="1391"/>
      <c r="F12" s="831" t="s">
        <v>4314</v>
      </c>
    </row>
    <row r="13" spans="1:8" ht="13.5" thickBot="1">
      <c r="B13" s="1470" t="s">
        <v>2663</v>
      </c>
      <c r="C13" s="1396"/>
      <c r="D13" s="1404">
        <v>7</v>
      </c>
      <c r="E13" s="1398"/>
      <c r="F13" s="831" t="s">
        <v>4315</v>
      </c>
    </row>
    <row r="14" spans="1:8" ht="13.5" thickBot="1"/>
    <row r="15" spans="1:8" ht="13.5" thickBot="1">
      <c r="B15" s="1405" t="s">
        <v>1773</v>
      </c>
      <c r="C15" s="1406"/>
      <c r="D15" s="1455">
        <v>36</v>
      </c>
      <c r="E15" s="1408" t="s">
        <v>212</v>
      </c>
      <c r="F15" s="831" t="s">
        <v>4300</v>
      </c>
    </row>
    <row r="16" spans="1:8" ht="13.5" thickBot="1">
      <c r="B16" s="1507"/>
      <c r="C16" s="1507"/>
      <c r="D16" s="1507"/>
      <c r="E16" s="1507"/>
    </row>
    <row r="17" spans="1:6" ht="14.25" thickTop="1" thickBot="1">
      <c r="A17" s="1096"/>
      <c r="B17" s="1458"/>
      <c r="C17" s="1458"/>
      <c r="D17" s="1458"/>
      <c r="E17" s="1458"/>
      <c r="F17" s="1096"/>
    </row>
    <row r="18" spans="1:6" ht="14.25" thickTop="1" thickBot="1"/>
    <row r="19" spans="1:6">
      <c r="B19" s="1389" t="s">
        <v>1773</v>
      </c>
      <c r="C19" s="1390"/>
      <c r="D19" s="1508">
        <v>36</v>
      </c>
      <c r="E19" s="1391" t="s">
        <v>212</v>
      </c>
    </row>
    <row r="20" spans="1:6" ht="13.5" thickBot="1">
      <c r="B20" s="1395" t="s">
        <v>1959</v>
      </c>
      <c r="C20" s="1396"/>
      <c r="D20" s="1397">
        <v>360</v>
      </c>
      <c r="E20" s="1398" t="s">
        <v>212</v>
      </c>
    </row>
    <row r="21" spans="1:6" ht="13.5" thickBot="1"/>
    <row r="22" spans="1:6">
      <c r="B22" s="1389" t="s">
        <v>2486</v>
      </c>
      <c r="C22" s="1390"/>
      <c r="D22" s="1509">
        <v>9</v>
      </c>
      <c r="E22" s="1391"/>
      <c r="F22" s="831" t="s">
        <v>4316</v>
      </c>
    </row>
    <row r="23" spans="1:6" ht="13.5" thickBot="1">
      <c r="B23" s="1395"/>
      <c r="C23" s="1396"/>
      <c r="D23" s="1510">
        <v>0.1111111111111111</v>
      </c>
      <c r="E23" s="1398"/>
      <c r="F23" s="831" t="s">
        <v>4317</v>
      </c>
    </row>
    <row r="24" spans="1:6" ht="13.5" thickBot="1"/>
    <row r="25" spans="1:6" ht="13.5" thickBot="1">
      <c r="B25" s="1405" t="s">
        <v>1774</v>
      </c>
      <c r="C25" s="1406"/>
      <c r="D25" s="1446">
        <v>40</v>
      </c>
      <c r="E25" s="1408" t="s">
        <v>212</v>
      </c>
      <c r="F25" s="831" t="s">
        <v>4318</v>
      </c>
    </row>
  </sheetData>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5"/>
  <dimension ref="A2:H25"/>
  <sheetViews>
    <sheetView workbookViewId="0">
      <selection activeCell="H40" sqref="H40"/>
    </sheetView>
  </sheetViews>
  <sheetFormatPr baseColWidth="10" defaultColWidth="11.42578125" defaultRowHeight="12.75"/>
  <cols>
    <col min="1" max="1" width="31" style="1" customWidth="1"/>
    <col min="2" max="2" width="11.42578125" style="26"/>
    <col min="3" max="16384" width="11.42578125" style="1"/>
  </cols>
  <sheetData>
    <row r="2" spans="1:8">
      <c r="A2" s="1" t="s">
        <v>238</v>
      </c>
    </row>
    <row r="3" spans="1:8">
      <c r="A3" s="1" t="s">
        <v>239</v>
      </c>
    </row>
    <row r="4" spans="1:8" ht="14.25">
      <c r="A4" s="1" t="s">
        <v>240</v>
      </c>
    </row>
    <row r="5" spans="1:8">
      <c r="A5" s="1" t="s">
        <v>241</v>
      </c>
    </row>
    <row r="7" spans="1:8">
      <c r="A7" s="1" t="s">
        <v>242</v>
      </c>
      <c r="B7" s="74"/>
    </row>
    <row r="10" spans="1:8">
      <c r="A10" s="2" t="s">
        <v>243</v>
      </c>
    </row>
    <row r="13" spans="1:8">
      <c r="A13" s="1" t="s">
        <v>244</v>
      </c>
      <c r="B13" s="75">
        <v>90</v>
      </c>
      <c r="D13" s="8"/>
      <c r="E13" s="8"/>
      <c r="F13" s="8"/>
      <c r="G13" s="8"/>
      <c r="H13" s="8"/>
    </row>
    <row r="14" spans="1:8">
      <c r="A14" s="1" t="s">
        <v>245</v>
      </c>
      <c r="B14" s="75">
        <v>120</v>
      </c>
      <c r="D14" s="8"/>
      <c r="E14" s="76" t="s">
        <v>246</v>
      </c>
      <c r="F14" s="8"/>
      <c r="G14" s="8"/>
      <c r="H14" s="8"/>
    </row>
    <row r="15" spans="1:8">
      <c r="D15" s="8"/>
      <c r="E15" s="8"/>
      <c r="F15" s="8"/>
      <c r="G15" s="8"/>
      <c r="H15" s="8"/>
    </row>
    <row r="16" spans="1:8">
      <c r="A16" s="1" t="s">
        <v>247</v>
      </c>
      <c r="B16" s="77">
        <f>SQRT(B13^2+B14^2)</f>
        <v>150</v>
      </c>
      <c r="D16" s="8"/>
      <c r="E16" s="8"/>
      <c r="F16" s="8"/>
      <c r="G16" s="76" t="s">
        <v>248</v>
      </c>
      <c r="H16" s="8"/>
    </row>
    <row r="17" spans="1:8">
      <c r="A17" s="1" t="s">
        <v>249</v>
      </c>
      <c r="B17" s="77">
        <f>2*(B13+B14)</f>
        <v>420</v>
      </c>
      <c r="D17" s="8"/>
      <c r="E17" s="8"/>
      <c r="F17" s="8"/>
      <c r="G17" s="8"/>
      <c r="H17" s="8"/>
    </row>
    <row r="18" spans="1:8" ht="14.25">
      <c r="A18" s="1" t="s">
        <v>250</v>
      </c>
      <c r="B18" s="77">
        <f>B13*B14</f>
        <v>10800</v>
      </c>
      <c r="D18" s="8"/>
      <c r="E18" s="8"/>
      <c r="F18" s="8"/>
      <c r="G18" s="8"/>
      <c r="H18" s="8"/>
    </row>
    <row r="19" spans="1:8">
      <c r="D19" s="8"/>
      <c r="E19" s="76" t="s">
        <v>251</v>
      </c>
      <c r="F19" s="8"/>
      <c r="G19" s="8"/>
      <c r="H19" s="8"/>
    </row>
    <row r="20" spans="1:8">
      <c r="D20" s="8"/>
      <c r="E20" s="8"/>
      <c r="F20" s="8"/>
      <c r="G20" s="8"/>
      <c r="H20" s="8"/>
    </row>
    <row r="21" spans="1:8" ht="20.25">
      <c r="D21" s="8"/>
      <c r="E21" s="78" t="s">
        <v>252</v>
      </c>
      <c r="F21" s="8"/>
      <c r="G21" s="8"/>
      <c r="H21" s="8"/>
    </row>
    <row r="22" spans="1:8" ht="20.25">
      <c r="D22" s="8"/>
      <c r="E22" s="79"/>
      <c r="F22" s="8"/>
      <c r="G22" s="8"/>
      <c r="H22" s="8"/>
    </row>
    <row r="23" spans="1:8" ht="20.25">
      <c r="D23" s="8"/>
      <c r="E23" s="78" t="s">
        <v>253</v>
      </c>
      <c r="F23" s="8"/>
      <c r="G23" s="8"/>
      <c r="H23" s="8"/>
    </row>
    <row r="24" spans="1:8">
      <c r="D24" s="8"/>
      <c r="E24" s="8"/>
      <c r="F24" s="8" t="s">
        <v>254</v>
      </c>
      <c r="G24" s="8"/>
      <c r="H24" s="8"/>
    </row>
    <row r="25" spans="1:8">
      <c r="D25" s="8"/>
      <c r="E25" s="8"/>
      <c r="F25" s="8"/>
      <c r="G25" s="8"/>
      <c r="H25" s="8"/>
    </row>
  </sheetData>
  <pageMargins left="0.78740157499999996" right="0.78740157499999996" top="0.984251969" bottom="0.984251969" header="0.4921259845" footer="0.4921259845"/>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5"/>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4319</v>
      </c>
      <c r="B2" s="1381" t="s">
        <v>4320</v>
      </c>
      <c r="C2" s="1382"/>
      <c r="D2" s="1382"/>
      <c r="E2" s="1382"/>
      <c r="F2" s="1382"/>
      <c r="G2" s="1383"/>
    </row>
    <row r="3" spans="1:7" ht="13.5" thickBot="1">
      <c r="B3" s="1386" t="s">
        <v>4321</v>
      </c>
      <c r="C3" s="1387"/>
      <c r="D3" s="1387"/>
      <c r="E3" s="1387"/>
      <c r="F3" s="1387"/>
      <c r="G3" s="1388"/>
    </row>
    <row r="5" spans="1:7">
      <c r="B5" s="818"/>
      <c r="C5" s="831" t="s">
        <v>3977</v>
      </c>
    </row>
    <row r="6" spans="1:7" ht="13.5" thickBot="1"/>
    <row r="7" spans="1:7">
      <c r="B7" s="1389" t="s">
        <v>3978</v>
      </c>
      <c r="C7" s="1390"/>
      <c r="D7" s="1390"/>
      <c r="E7" s="1391"/>
    </row>
    <row r="8" spans="1:7">
      <c r="B8" s="1392" t="s">
        <v>2486</v>
      </c>
      <c r="C8" s="1096"/>
      <c r="D8" s="1511">
        <v>0.25</v>
      </c>
      <c r="E8" s="1394"/>
    </row>
    <row r="9" spans="1:7" ht="13.5" thickBot="1">
      <c r="B9" s="1395" t="s">
        <v>1774</v>
      </c>
      <c r="C9" s="1396"/>
      <c r="D9" s="1397">
        <v>30</v>
      </c>
      <c r="E9" s="1398" t="s">
        <v>212</v>
      </c>
    </row>
    <row r="10" spans="1:7" ht="13.5" thickBot="1"/>
    <row r="11" spans="1:7" ht="13.5" thickBot="1">
      <c r="B11" s="1405" t="s">
        <v>2663</v>
      </c>
      <c r="C11" s="1406"/>
      <c r="D11" s="1512">
        <v>5</v>
      </c>
      <c r="E11" s="1408"/>
      <c r="F11" s="831" t="s">
        <v>4299</v>
      </c>
    </row>
    <row r="12" spans="1:7" ht="13.5" thickBot="1"/>
    <row r="13" spans="1:7" ht="13.5" thickBot="1">
      <c r="B13" s="1405" t="s">
        <v>1959</v>
      </c>
      <c r="C13" s="1406"/>
      <c r="D13" s="1512">
        <v>120</v>
      </c>
      <c r="E13" s="1408" t="s">
        <v>212</v>
      </c>
      <c r="F13" s="831" t="s">
        <v>4322</v>
      </c>
    </row>
    <row r="14" spans="1:7" ht="13.5" thickBot="1"/>
    <row r="15" spans="1:7" ht="13.5" thickBot="1">
      <c r="B15" s="1405" t="s">
        <v>1773</v>
      </c>
      <c r="C15" s="1406"/>
      <c r="D15" s="1455">
        <v>24</v>
      </c>
      <c r="E15" s="1408" t="s">
        <v>212</v>
      </c>
      <c r="F15" s="831" t="s">
        <v>4300</v>
      </c>
    </row>
  </sheetData>
  <pageMargins left="0.78740157499999996" right="0.78740157499999996" top="0.984251969" bottom="0.984251969" header="0.4921259845" footer="0.4921259845"/>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8"/>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4323</v>
      </c>
      <c r="B2" s="1381" t="s">
        <v>4324</v>
      </c>
      <c r="C2" s="1382"/>
      <c r="D2" s="1382"/>
      <c r="E2" s="1382"/>
      <c r="F2" s="1382"/>
      <c r="G2" s="1382"/>
      <c r="H2" s="1383"/>
    </row>
    <row r="3" spans="1:8">
      <c r="B3" s="1384" t="s">
        <v>4325</v>
      </c>
      <c r="C3" s="829"/>
      <c r="D3" s="829"/>
      <c r="E3" s="829"/>
      <c r="F3" s="829"/>
      <c r="G3" s="829"/>
      <c r="H3" s="1385"/>
    </row>
    <row r="4" spans="1:8">
      <c r="B4" s="1384" t="s">
        <v>4326</v>
      </c>
      <c r="C4" s="829"/>
      <c r="D4" s="829"/>
      <c r="E4" s="829"/>
      <c r="F4" s="829"/>
      <c r="G4" s="829"/>
      <c r="H4" s="1385"/>
    </row>
    <row r="5" spans="1:8" ht="13.5" thickBot="1">
      <c r="B5" s="1386" t="s">
        <v>4327</v>
      </c>
      <c r="C5" s="1387"/>
      <c r="D5" s="1387"/>
      <c r="E5" s="1387"/>
      <c r="F5" s="1387"/>
      <c r="G5" s="1387"/>
      <c r="H5" s="1388"/>
    </row>
    <row r="7" spans="1:8">
      <c r="B7" s="818"/>
      <c r="C7" s="831" t="s">
        <v>3977</v>
      </c>
    </row>
    <row r="8" spans="1:8" ht="13.5" thickBot="1"/>
    <row r="9" spans="1:8">
      <c r="B9" s="1389" t="s">
        <v>3978</v>
      </c>
      <c r="C9" s="1390"/>
      <c r="D9" s="1390"/>
      <c r="E9" s="1391"/>
    </row>
    <row r="10" spans="1:8">
      <c r="B10" s="1392" t="s">
        <v>2486</v>
      </c>
      <c r="C10" s="1096"/>
      <c r="D10" s="1393">
        <v>5</v>
      </c>
      <c r="E10" s="1394" t="s">
        <v>4328</v>
      </c>
    </row>
    <row r="11" spans="1:8">
      <c r="B11" s="1392"/>
      <c r="C11" s="1096"/>
      <c r="D11" s="1393">
        <v>0.2</v>
      </c>
      <c r="E11" s="1394"/>
    </row>
    <row r="12" spans="1:8" ht="13.5" thickBot="1">
      <c r="B12" s="1395" t="s">
        <v>1773</v>
      </c>
      <c r="C12" s="1396"/>
      <c r="D12" s="1397">
        <v>13.5</v>
      </c>
      <c r="E12" s="1398" t="s">
        <v>212</v>
      </c>
    </row>
    <row r="13" spans="1:8" ht="13.5" thickBot="1"/>
    <row r="14" spans="1:8" ht="13.5" thickBot="1">
      <c r="B14" s="1405" t="s">
        <v>2663</v>
      </c>
      <c r="C14" s="1406"/>
      <c r="D14" s="1406">
        <v>6</v>
      </c>
      <c r="E14" s="1408"/>
      <c r="F14" s="831" t="s">
        <v>4299</v>
      </c>
    </row>
    <row r="15" spans="1:8" ht="13.5" thickBot="1"/>
    <row r="16" spans="1:8" ht="13.5" thickBot="1">
      <c r="B16" s="1405" t="s">
        <v>1959</v>
      </c>
      <c r="C16" s="1406"/>
      <c r="D16" s="1455">
        <v>81</v>
      </c>
      <c r="E16" s="1408" t="s">
        <v>212</v>
      </c>
      <c r="F16" s="831" t="s">
        <v>4329</v>
      </c>
    </row>
    <row r="17" spans="2:6" ht="13.5" thickBot="1"/>
    <row r="18" spans="2:6" ht="13.5" thickBot="1">
      <c r="B18" s="1405" t="s">
        <v>1774</v>
      </c>
      <c r="C18" s="1406"/>
      <c r="D18" s="1455">
        <v>16.2</v>
      </c>
      <c r="E18" s="1408" t="s">
        <v>212</v>
      </c>
      <c r="F18" s="831" t="s">
        <v>4318</v>
      </c>
    </row>
  </sheetData>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9"/>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4330</v>
      </c>
      <c r="B2" s="1381" t="s">
        <v>4331</v>
      </c>
      <c r="C2" s="1382"/>
      <c r="D2" s="1382"/>
      <c r="E2" s="1382"/>
      <c r="F2" s="1382"/>
      <c r="G2" s="1382"/>
      <c r="H2" s="1382"/>
      <c r="I2" s="1383"/>
    </row>
    <row r="3" spans="1:9">
      <c r="B3" s="1384" t="s">
        <v>4332</v>
      </c>
      <c r="C3" s="829"/>
      <c r="D3" s="829"/>
      <c r="E3" s="829"/>
      <c r="F3" s="829"/>
      <c r="G3" s="829"/>
      <c r="H3" s="829"/>
      <c r="I3" s="1385"/>
    </row>
    <row r="4" spans="1:9">
      <c r="B4" s="1384" t="s">
        <v>4333</v>
      </c>
      <c r="C4" s="829"/>
      <c r="D4" s="829"/>
      <c r="E4" s="829"/>
      <c r="F4" s="829"/>
      <c r="G4" s="829"/>
      <c r="H4" s="829"/>
      <c r="I4" s="1385"/>
    </row>
    <row r="5" spans="1:9" ht="13.5" thickBot="1">
      <c r="B5" s="1386" t="s">
        <v>4327</v>
      </c>
      <c r="C5" s="1387"/>
      <c r="D5" s="1387"/>
      <c r="E5" s="1387"/>
      <c r="F5" s="1387"/>
      <c r="G5" s="1387"/>
      <c r="H5" s="1387"/>
      <c r="I5" s="1388"/>
    </row>
    <row r="7" spans="1:9">
      <c r="B7" s="818"/>
      <c r="C7" s="831" t="s">
        <v>3977</v>
      </c>
    </row>
    <row r="8" spans="1:9" ht="13.5" thickBot="1"/>
    <row r="9" spans="1:9">
      <c r="B9" s="1389" t="s">
        <v>3978</v>
      </c>
      <c r="C9" s="1390"/>
      <c r="D9" s="1390"/>
      <c r="E9" s="1391"/>
    </row>
    <row r="10" spans="1:9">
      <c r="B10" s="1392" t="s">
        <v>4000</v>
      </c>
      <c r="C10" s="1096"/>
      <c r="D10" s="1393">
        <v>450</v>
      </c>
      <c r="E10" s="1394" t="s">
        <v>212</v>
      </c>
    </row>
    <row r="11" spans="1:9">
      <c r="B11" s="1392" t="s">
        <v>520</v>
      </c>
      <c r="C11" s="1096"/>
      <c r="D11" s="1393">
        <v>22.5</v>
      </c>
      <c r="E11" s="1394" t="s">
        <v>212</v>
      </c>
    </row>
    <row r="12" spans="1:9" ht="13.5" thickBot="1">
      <c r="B12" s="1395" t="s">
        <v>1773</v>
      </c>
      <c r="C12" s="1396"/>
      <c r="D12" s="1397">
        <v>13.5</v>
      </c>
      <c r="E12" s="1398" t="s">
        <v>212</v>
      </c>
    </row>
    <row r="13" spans="1:9" ht="13.5" thickBot="1"/>
    <row r="14" spans="1:9">
      <c r="B14" s="1389" t="s">
        <v>2486</v>
      </c>
      <c r="C14" s="1390"/>
      <c r="D14" s="1390">
        <v>0.05</v>
      </c>
      <c r="E14" s="1391"/>
      <c r="F14" s="831" t="s">
        <v>4334</v>
      </c>
    </row>
    <row r="15" spans="1:9" ht="13.5" thickBot="1">
      <c r="B15" s="1395" t="s">
        <v>2663</v>
      </c>
      <c r="C15" s="1396"/>
      <c r="D15" s="1396">
        <v>21</v>
      </c>
      <c r="E15" s="1398"/>
    </row>
    <row r="16" spans="1:9" ht="13.5" thickBot="1"/>
    <row r="17" spans="2:6" ht="13.5" thickBot="1">
      <c r="B17" s="1405" t="s">
        <v>1959</v>
      </c>
      <c r="C17" s="1406"/>
      <c r="D17" s="1455">
        <v>283.5</v>
      </c>
      <c r="E17" s="1408" t="s">
        <v>212</v>
      </c>
      <c r="F17" s="831" t="s">
        <v>4335</v>
      </c>
    </row>
    <row r="18" spans="2:6" ht="13.5" thickBot="1"/>
    <row r="19" spans="2:6" ht="13.5" thickBot="1">
      <c r="B19" s="1405" t="s">
        <v>1774</v>
      </c>
      <c r="C19" s="1406"/>
      <c r="D19" s="1445">
        <v>14.175000000000001</v>
      </c>
      <c r="E19" s="1408" t="s">
        <v>212</v>
      </c>
      <c r="F19" s="831" t="s">
        <v>4309</v>
      </c>
    </row>
  </sheetData>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6"/>
  <sheetViews>
    <sheetView workbookViewId="0">
      <selection activeCell="J26" sqref="J26"/>
    </sheetView>
  </sheetViews>
  <sheetFormatPr baseColWidth="10" defaultColWidth="11.42578125" defaultRowHeight="12.75"/>
  <cols>
    <col min="1" max="16384" width="11.42578125" style="831"/>
  </cols>
  <sheetData>
    <row r="1" spans="1:9" ht="13.5" thickBot="1"/>
    <row r="2" spans="1:9">
      <c r="A2" s="963" t="s">
        <v>4336</v>
      </c>
      <c r="B2" s="1381" t="s">
        <v>4337</v>
      </c>
      <c r="C2" s="1382"/>
      <c r="D2" s="1382"/>
      <c r="E2" s="1382"/>
      <c r="F2" s="1382"/>
      <c r="G2" s="1382"/>
      <c r="H2" s="1382"/>
      <c r="I2" s="1383"/>
    </row>
    <row r="3" spans="1:9">
      <c r="B3" s="1384" t="s">
        <v>4338</v>
      </c>
      <c r="C3" s="829"/>
      <c r="D3" s="829"/>
      <c r="E3" s="829"/>
      <c r="F3" s="829"/>
      <c r="G3" s="829"/>
      <c r="H3" s="829"/>
      <c r="I3" s="1385"/>
    </row>
    <row r="4" spans="1:9" ht="13.5" thickBot="1">
      <c r="B4" s="1386" t="s">
        <v>4339</v>
      </c>
      <c r="C4" s="1387"/>
      <c r="D4" s="1387"/>
      <c r="E4" s="1387"/>
      <c r="F4" s="1387"/>
      <c r="G4" s="1387"/>
      <c r="H4" s="1387"/>
      <c r="I4" s="1388"/>
    </row>
    <row r="6" spans="1:9">
      <c r="B6" s="818"/>
      <c r="C6" s="831" t="s">
        <v>3977</v>
      </c>
    </row>
    <row r="7" spans="1:9" ht="13.5" thickBot="1"/>
    <row r="8" spans="1:9">
      <c r="B8" s="1389" t="s">
        <v>3978</v>
      </c>
      <c r="C8" s="1390"/>
      <c r="D8" s="1390"/>
      <c r="E8" s="1391"/>
    </row>
    <row r="9" spans="1:9">
      <c r="B9" s="1392" t="s">
        <v>4000</v>
      </c>
      <c r="C9" s="1096"/>
      <c r="D9" s="1393">
        <v>630</v>
      </c>
      <c r="E9" s="1394" t="s">
        <v>212</v>
      </c>
    </row>
    <row r="10" spans="1:9">
      <c r="B10" s="1392" t="s">
        <v>520</v>
      </c>
      <c r="C10" s="1096"/>
      <c r="D10" s="1393">
        <v>9</v>
      </c>
      <c r="E10" s="1394" t="s">
        <v>212</v>
      </c>
    </row>
    <row r="11" spans="1:9" ht="13.5" thickBot="1">
      <c r="B11" s="1395" t="s">
        <v>1959</v>
      </c>
      <c r="C11" s="1396"/>
      <c r="D11" s="1397">
        <v>710</v>
      </c>
      <c r="E11" s="1398" t="s">
        <v>212</v>
      </c>
    </row>
    <row r="12" spans="1:9" ht="13.5" thickBot="1"/>
    <row r="13" spans="1:9">
      <c r="B13" s="1389" t="s">
        <v>2486</v>
      </c>
      <c r="C13" s="1390"/>
      <c r="D13" s="1390">
        <v>1.4285714285714285E-2</v>
      </c>
      <c r="E13" s="1391"/>
      <c r="F13" s="831" t="s">
        <v>4334</v>
      </c>
    </row>
    <row r="14" spans="1:9" ht="13.5" thickBot="1">
      <c r="B14" s="1395" t="s">
        <v>2663</v>
      </c>
      <c r="C14" s="1396"/>
      <c r="D14" s="1396">
        <v>71</v>
      </c>
      <c r="E14" s="1398"/>
      <c r="F14" s="831" t="s">
        <v>4340</v>
      </c>
    </row>
    <row r="15" spans="1:9" ht="13.5" thickBot="1"/>
    <row r="16" spans="1:9" ht="13.5" thickBot="1">
      <c r="B16" s="1405" t="s">
        <v>1773</v>
      </c>
      <c r="C16" s="1406"/>
      <c r="D16" s="1455">
        <v>10</v>
      </c>
      <c r="E16" s="1408" t="s">
        <v>212</v>
      </c>
      <c r="F16" s="831" t="s">
        <v>4300</v>
      </c>
    </row>
  </sheetData>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2"/>
  <sheetViews>
    <sheetView workbookViewId="0">
      <selection activeCell="J26" sqref="J26"/>
    </sheetView>
  </sheetViews>
  <sheetFormatPr baseColWidth="10" defaultRowHeight="12.75"/>
  <cols>
    <col min="1" max="2" width="11.42578125" style="831"/>
    <col min="3" max="3" width="18" style="831" customWidth="1"/>
    <col min="4" max="4" width="21.42578125" style="831" bestFit="1" customWidth="1"/>
    <col min="5" max="5" width="15.42578125" style="831" bestFit="1" customWidth="1"/>
    <col min="6" max="6" width="16.85546875" style="831" bestFit="1" customWidth="1"/>
    <col min="7" max="7" width="21.28515625" style="831" bestFit="1" customWidth="1"/>
    <col min="8" max="8" width="16.42578125" style="831" bestFit="1" customWidth="1"/>
    <col min="9" max="258" width="11.42578125" style="831"/>
    <col min="259" max="259" width="18" style="831" customWidth="1"/>
    <col min="260" max="260" width="21.42578125" style="831" bestFit="1" customWidth="1"/>
    <col min="261" max="261" width="15.42578125" style="831" bestFit="1" customWidth="1"/>
    <col min="262" max="262" width="16.85546875" style="831" bestFit="1" customWidth="1"/>
    <col min="263" max="263" width="21.28515625" style="831" bestFit="1" customWidth="1"/>
    <col min="264" max="264" width="16.42578125" style="831" bestFit="1" customWidth="1"/>
    <col min="265" max="514" width="11.42578125" style="831"/>
    <col min="515" max="515" width="18" style="831" customWidth="1"/>
    <col min="516" max="516" width="21.42578125" style="831" bestFit="1" customWidth="1"/>
    <col min="517" max="517" width="15.42578125" style="831" bestFit="1" customWidth="1"/>
    <col min="518" max="518" width="16.85546875" style="831" bestFit="1" customWidth="1"/>
    <col min="519" max="519" width="21.28515625" style="831" bestFit="1" customWidth="1"/>
    <col min="520" max="520" width="16.42578125" style="831" bestFit="1" customWidth="1"/>
    <col min="521" max="770" width="11.42578125" style="831"/>
    <col min="771" max="771" width="18" style="831" customWidth="1"/>
    <col min="772" max="772" width="21.42578125" style="831" bestFit="1" customWidth="1"/>
    <col min="773" max="773" width="15.42578125" style="831" bestFit="1" customWidth="1"/>
    <col min="774" max="774" width="16.85546875" style="831" bestFit="1" customWidth="1"/>
    <col min="775" max="775" width="21.28515625" style="831" bestFit="1" customWidth="1"/>
    <col min="776" max="776" width="16.42578125" style="831" bestFit="1" customWidth="1"/>
    <col min="777" max="1026" width="11.42578125" style="831"/>
    <col min="1027" max="1027" width="18" style="831" customWidth="1"/>
    <col min="1028" max="1028" width="21.42578125" style="831" bestFit="1" customWidth="1"/>
    <col min="1029" max="1029" width="15.42578125" style="831" bestFit="1" customWidth="1"/>
    <col min="1030" max="1030" width="16.85546875" style="831" bestFit="1" customWidth="1"/>
    <col min="1031" max="1031" width="21.28515625" style="831" bestFit="1" customWidth="1"/>
    <col min="1032" max="1032" width="16.42578125" style="831" bestFit="1" customWidth="1"/>
    <col min="1033" max="1282" width="11.42578125" style="831"/>
    <col min="1283" max="1283" width="18" style="831" customWidth="1"/>
    <col min="1284" max="1284" width="21.42578125" style="831" bestFit="1" customWidth="1"/>
    <col min="1285" max="1285" width="15.42578125" style="831" bestFit="1" customWidth="1"/>
    <col min="1286" max="1286" width="16.85546875" style="831" bestFit="1" customWidth="1"/>
    <col min="1287" max="1287" width="21.28515625" style="831" bestFit="1" customWidth="1"/>
    <col min="1288" max="1288" width="16.42578125" style="831" bestFit="1" customWidth="1"/>
    <col min="1289" max="1538" width="11.42578125" style="831"/>
    <col min="1539" max="1539" width="18" style="831" customWidth="1"/>
    <col min="1540" max="1540" width="21.42578125" style="831" bestFit="1" customWidth="1"/>
    <col min="1541" max="1541" width="15.42578125" style="831" bestFit="1" customWidth="1"/>
    <col min="1542" max="1542" width="16.85546875" style="831" bestFit="1" customWidth="1"/>
    <col min="1543" max="1543" width="21.28515625" style="831" bestFit="1" customWidth="1"/>
    <col min="1544" max="1544" width="16.42578125" style="831" bestFit="1" customWidth="1"/>
    <col min="1545" max="1794" width="11.42578125" style="831"/>
    <col min="1795" max="1795" width="18" style="831" customWidth="1"/>
    <col min="1796" max="1796" width="21.42578125" style="831" bestFit="1" customWidth="1"/>
    <col min="1797" max="1797" width="15.42578125" style="831" bestFit="1" customWidth="1"/>
    <col min="1798" max="1798" width="16.85546875" style="831" bestFit="1" customWidth="1"/>
    <col min="1799" max="1799" width="21.28515625" style="831" bestFit="1" customWidth="1"/>
    <col min="1800" max="1800" width="16.42578125" style="831" bestFit="1" customWidth="1"/>
    <col min="1801" max="2050" width="11.42578125" style="831"/>
    <col min="2051" max="2051" width="18" style="831" customWidth="1"/>
    <col min="2052" max="2052" width="21.42578125" style="831" bestFit="1" customWidth="1"/>
    <col min="2053" max="2053" width="15.42578125" style="831" bestFit="1" customWidth="1"/>
    <col min="2054" max="2054" width="16.85546875" style="831" bestFit="1" customWidth="1"/>
    <col min="2055" max="2055" width="21.28515625" style="831" bestFit="1" customWidth="1"/>
    <col min="2056" max="2056" width="16.42578125" style="831" bestFit="1" customWidth="1"/>
    <col min="2057" max="2306" width="11.42578125" style="831"/>
    <col min="2307" max="2307" width="18" style="831" customWidth="1"/>
    <col min="2308" max="2308" width="21.42578125" style="831" bestFit="1" customWidth="1"/>
    <col min="2309" max="2309" width="15.42578125" style="831" bestFit="1" customWidth="1"/>
    <col min="2310" max="2310" width="16.85546875" style="831" bestFit="1" customWidth="1"/>
    <col min="2311" max="2311" width="21.28515625" style="831" bestFit="1" customWidth="1"/>
    <col min="2312" max="2312" width="16.42578125" style="831" bestFit="1" customWidth="1"/>
    <col min="2313" max="2562" width="11.42578125" style="831"/>
    <col min="2563" max="2563" width="18" style="831" customWidth="1"/>
    <col min="2564" max="2564" width="21.42578125" style="831" bestFit="1" customWidth="1"/>
    <col min="2565" max="2565" width="15.42578125" style="831" bestFit="1" customWidth="1"/>
    <col min="2566" max="2566" width="16.85546875" style="831" bestFit="1" customWidth="1"/>
    <col min="2567" max="2567" width="21.28515625" style="831" bestFit="1" customWidth="1"/>
    <col min="2568" max="2568" width="16.42578125" style="831" bestFit="1" customWidth="1"/>
    <col min="2569" max="2818" width="11.42578125" style="831"/>
    <col min="2819" max="2819" width="18" style="831" customWidth="1"/>
    <col min="2820" max="2820" width="21.42578125" style="831" bestFit="1" customWidth="1"/>
    <col min="2821" max="2821" width="15.42578125" style="831" bestFit="1" customWidth="1"/>
    <col min="2822" max="2822" width="16.85546875" style="831" bestFit="1" customWidth="1"/>
    <col min="2823" max="2823" width="21.28515625" style="831" bestFit="1" customWidth="1"/>
    <col min="2824" max="2824" width="16.42578125" style="831" bestFit="1" customWidth="1"/>
    <col min="2825" max="3074" width="11.42578125" style="831"/>
    <col min="3075" max="3075" width="18" style="831" customWidth="1"/>
    <col min="3076" max="3076" width="21.42578125" style="831" bestFit="1" customWidth="1"/>
    <col min="3077" max="3077" width="15.42578125" style="831" bestFit="1" customWidth="1"/>
    <col min="3078" max="3078" width="16.85546875" style="831" bestFit="1" customWidth="1"/>
    <col min="3079" max="3079" width="21.28515625" style="831" bestFit="1" customWidth="1"/>
    <col min="3080" max="3080" width="16.42578125" style="831" bestFit="1" customWidth="1"/>
    <col min="3081" max="3330" width="11.42578125" style="831"/>
    <col min="3331" max="3331" width="18" style="831" customWidth="1"/>
    <col min="3332" max="3332" width="21.42578125" style="831" bestFit="1" customWidth="1"/>
    <col min="3333" max="3333" width="15.42578125" style="831" bestFit="1" customWidth="1"/>
    <col min="3334" max="3334" width="16.85546875" style="831" bestFit="1" customWidth="1"/>
    <col min="3335" max="3335" width="21.28515625" style="831" bestFit="1" customWidth="1"/>
    <col min="3336" max="3336" width="16.42578125" style="831" bestFit="1" customWidth="1"/>
    <col min="3337" max="3586" width="11.42578125" style="831"/>
    <col min="3587" max="3587" width="18" style="831" customWidth="1"/>
    <col min="3588" max="3588" width="21.42578125" style="831" bestFit="1" customWidth="1"/>
    <col min="3589" max="3589" width="15.42578125" style="831" bestFit="1" customWidth="1"/>
    <col min="3590" max="3590" width="16.85546875" style="831" bestFit="1" customWidth="1"/>
    <col min="3591" max="3591" width="21.28515625" style="831" bestFit="1" customWidth="1"/>
    <col min="3592" max="3592" width="16.42578125" style="831" bestFit="1" customWidth="1"/>
    <col min="3593" max="3842" width="11.42578125" style="831"/>
    <col min="3843" max="3843" width="18" style="831" customWidth="1"/>
    <col min="3844" max="3844" width="21.42578125" style="831" bestFit="1" customWidth="1"/>
    <col min="3845" max="3845" width="15.42578125" style="831" bestFit="1" customWidth="1"/>
    <col min="3846" max="3846" width="16.85546875" style="831" bestFit="1" customWidth="1"/>
    <col min="3847" max="3847" width="21.28515625" style="831" bestFit="1" customWidth="1"/>
    <col min="3848" max="3848" width="16.42578125" style="831" bestFit="1" customWidth="1"/>
    <col min="3849" max="4098" width="11.42578125" style="831"/>
    <col min="4099" max="4099" width="18" style="831" customWidth="1"/>
    <col min="4100" max="4100" width="21.42578125" style="831" bestFit="1" customWidth="1"/>
    <col min="4101" max="4101" width="15.42578125" style="831" bestFit="1" customWidth="1"/>
    <col min="4102" max="4102" width="16.85546875" style="831" bestFit="1" customWidth="1"/>
    <col min="4103" max="4103" width="21.28515625" style="831" bestFit="1" customWidth="1"/>
    <col min="4104" max="4104" width="16.42578125" style="831" bestFit="1" customWidth="1"/>
    <col min="4105" max="4354" width="11.42578125" style="831"/>
    <col min="4355" max="4355" width="18" style="831" customWidth="1"/>
    <col min="4356" max="4356" width="21.42578125" style="831" bestFit="1" customWidth="1"/>
    <col min="4357" max="4357" width="15.42578125" style="831" bestFit="1" customWidth="1"/>
    <col min="4358" max="4358" width="16.85546875" style="831" bestFit="1" customWidth="1"/>
    <col min="4359" max="4359" width="21.28515625" style="831" bestFit="1" customWidth="1"/>
    <col min="4360" max="4360" width="16.42578125" style="831" bestFit="1" customWidth="1"/>
    <col min="4361" max="4610" width="11.42578125" style="831"/>
    <col min="4611" max="4611" width="18" style="831" customWidth="1"/>
    <col min="4612" max="4612" width="21.42578125" style="831" bestFit="1" customWidth="1"/>
    <col min="4613" max="4613" width="15.42578125" style="831" bestFit="1" customWidth="1"/>
    <col min="4614" max="4614" width="16.85546875" style="831" bestFit="1" customWidth="1"/>
    <col min="4615" max="4615" width="21.28515625" style="831" bestFit="1" customWidth="1"/>
    <col min="4616" max="4616" width="16.42578125" style="831" bestFit="1" customWidth="1"/>
    <col min="4617" max="4866" width="11.42578125" style="831"/>
    <col min="4867" max="4867" width="18" style="831" customWidth="1"/>
    <col min="4868" max="4868" width="21.42578125" style="831" bestFit="1" customWidth="1"/>
    <col min="4869" max="4869" width="15.42578125" style="831" bestFit="1" customWidth="1"/>
    <col min="4870" max="4870" width="16.85546875" style="831" bestFit="1" customWidth="1"/>
    <col min="4871" max="4871" width="21.28515625" style="831" bestFit="1" customWidth="1"/>
    <col min="4872" max="4872" width="16.42578125" style="831" bestFit="1" customWidth="1"/>
    <col min="4873" max="5122" width="11.42578125" style="831"/>
    <col min="5123" max="5123" width="18" style="831" customWidth="1"/>
    <col min="5124" max="5124" width="21.42578125" style="831" bestFit="1" customWidth="1"/>
    <col min="5125" max="5125" width="15.42578125" style="831" bestFit="1" customWidth="1"/>
    <col min="5126" max="5126" width="16.85546875" style="831" bestFit="1" customWidth="1"/>
    <col min="5127" max="5127" width="21.28515625" style="831" bestFit="1" customWidth="1"/>
    <col min="5128" max="5128" width="16.42578125" style="831" bestFit="1" customWidth="1"/>
    <col min="5129" max="5378" width="11.42578125" style="831"/>
    <col min="5379" max="5379" width="18" style="831" customWidth="1"/>
    <col min="5380" max="5380" width="21.42578125" style="831" bestFit="1" customWidth="1"/>
    <col min="5381" max="5381" width="15.42578125" style="831" bestFit="1" customWidth="1"/>
    <col min="5382" max="5382" width="16.85546875" style="831" bestFit="1" customWidth="1"/>
    <col min="5383" max="5383" width="21.28515625" style="831" bestFit="1" customWidth="1"/>
    <col min="5384" max="5384" width="16.42578125" style="831" bestFit="1" customWidth="1"/>
    <col min="5385" max="5634" width="11.42578125" style="831"/>
    <col min="5635" max="5635" width="18" style="831" customWidth="1"/>
    <col min="5636" max="5636" width="21.42578125" style="831" bestFit="1" customWidth="1"/>
    <col min="5637" max="5637" width="15.42578125" style="831" bestFit="1" customWidth="1"/>
    <col min="5638" max="5638" width="16.85546875" style="831" bestFit="1" customWidth="1"/>
    <col min="5639" max="5639" width="21.28515625" style="831" bestFit="1" customWidth="1"/>
    <col min="5640" max="5640" width="16.42578125" style="831" bestFit="1" customWidth="1"/>
    <col min="5641" max="5890" width="11.42578125" style="831"/>
    <col min="5891" max="5891" width="18" style="831" customWidth="1"/>
    <col min="5892" max="5892" width="21.42578125" style="831" bestFit="1" customWidth="1"/>
    <col min="5893" max="5893" width="15.42578125" style="831" bestFit="1" customWidth="1"/>
    <col min="5894" max="5894" width="16.85546875" style="831" bestFit="1" customWidth="1"/>
    <col min="5895" max="5895" width="21.28515625" style="831" bestFit="1" customWidth="1"/>
    <col min="5896" max="5896" width="16.42578125" style="831" bestFit="1" customWidth="1"/>
    <col min="5897" max="6146" width="11.42578125" style="831"/>
    <col min="6147" max="6147" width="18" style="831" customWidth="1"/>
    <col min="6148" max="6148" width="21.42578125" style="831" bestFit="1" customWidth="1"/>
    <col min="6149" max="6149" width="15.42578125" style="831" bestFit="1" customWidth="1"/>
    <col min="6150" max="6150" width="16.85546875" style="831" bestFit="1" customWidth="1"/>
    <col min="6151" max="6151" width="21.28515625" style="831" bestFit="1" customWidth="1"/>
    <col min="6152" max="6152" width="16.42578125" style="831" bestFit="1" customWidth="1"/>
    <col min="6153" max="6402" width="11.42578125" style="831"/>
    <col min="6403" max="6403" width="18" style="831" customWidth="1"/>
    <col min="6404" max="6404" width="21.42578125" style="831" bestFit="1" customWidth="1"/>
    <col min="6405" max="6405" width="15.42578125" style="831" bestFit="1" customWidth="1"/>
    <col min="6406" max="6406" width="16.85546875" style="831" bestFit="1" customWidth="1"/>
    <col min="6407" max="6407" width="21.28515625" style="831" bestFit="1" customWidth="1"/>
    <col min="6408" max="6408" width="16.42578125" style="831" bestFit="1" customWidth="1"/>
    <col min="6409" max="6658" width="11.42578125" style="831"/>
    <col min="6659" max="6659" width="18" style="831" customWidth="1"/>
    <col min="6660" max="6660" width="21.42578125" style="831" bestFit="1" customWidth="1"/>
    <col min="6661" max="6661" width="15.42578125" style="831" bestFit="1" customWidth="1"/>
    <col min="6662" max="6662" width="16.85546875" style="831" bestFit="1" customWidth="1"/>
    <col min="6663" max="6663" width="21.28515625" style="831" bestFit="1" customWidth="1"/>
    <col min="6664" max="6664" width="16.42578125" style="831" bestFit="1" customWidth="1"/>
    <col min="6665" max="6914" width="11.42578125" style="831"/>
    <col min="6915" max="6915" width="18" style="831" customWidth="1"/>
    <col min="6916" max="6916" width="21.42578125" style="831" bestFit="1" customWidth="1"/>
    <col min="6917" max="6917" width="15.42578125" style="831" bestFit="1" customWidth="1"/>
    <col min="6918" max="6918" width="16.85546875" style="831" bestFit="1" customWidth="1"/>
    <col min="6919" max="6919" width="21.28515625" style="831" bestFit="1" customWidth="1"/>
    <col min="6920" max="6920" width="16.42578125" style="831" bestFit="1" customWidth="1"/>
    <col min="6921" max="7170" width="11.42578125" style="831"/>
    <col min="7171" max="7171" width="18" style="831" customWidth="1"/>
    <col min="7172" max="7172" width="21.42578125" style="831" bestFit="1" customWidth="1"/>
    <col min="7173" max="7173" width="15.42578125" style="831" bestFit="1" customWidth="1"/>
    <col min="7174" max="7174" width="16.85546875" style="831" bestFit="1" customWidth="1"/>
    <col min="7175" max="7175" width="21.28515625" style="831" bestFit="1" customWidth="1"/>
    <col min="7176" max="7176" width="16.42578125" style="831" bestFit="1" customWidth="1"/>
    <col min="7177" max="7426" width="11.42578125" style="831"/>
    <col min="7427" max="7427" width="18" style="831" customWidth="1"/>
    <col min="7428" max="7428" width="21.42578125" style="831" bestFit="1" customWidth="1"/>
    <col min="7429" max="7429" width="15.42578125" style="831" bestFit="1" customWidth="1"/>
    <col min="7430" max="7430" width="16.85546875" style="831" bestFit="1" customWidth="1"/>
    <col min="7431" max="7431" width="21.28515625" style="831" bestFit="1" customWidth="1"/>
    <col min="7432" max="7432" width="16.42578125" style="831" bestFit="1" customWidth="1"/>
    <col min="7433" max="7682" width="11.42578125" style="831"/>
    <col min="7683" max="7683" width="18" style="831" customWidth="1"/>
    <col min="7684" max="7684" width="21.42578125" style="831" bestFit="1" customWidth="1"/>
    <col min="7685" max="7685" width="15.42578125" style="831" bestFit="1" customWidth="1"/>
    <col min="7686" max="7686" width="16.85546875" style="831" bestFit="1" customWidth="1"/>
    <col min="7687" max="7687" width="21.28515625" style="831" bestFit="1" customWidth="1"/>
    <col min="7688" max="7688" width="16.42578125" style="831" bestFit="1" customWidth="1"/>
    <col min="7689" max="7938" width="11.42578125" style="831"/>
    <col min="7939" max="7939" width="18" style="831" customWidth="1"/>
    <col min="7940" max="7940" width="21.42578125" style="831" bestFit="1" customWidth="1"/>
    <col min="7941" max="7941" width="15.42578125" style="831" bestFit="1" customWidth="1"/>
    <col min="7942" max="7942" width="16.85546875" style="831" bestFit="1" customWidth="1"/>
    <col min="7943" max="7943" width="21.28515625" style="831" bestFit="1" customWidth="1"/>
    <col min="7944" max="7944" width="16.42578125" style="831" bestFit="1" customWidth="1"/>
    <col min="7945" max="8194" width="11.42578125" style="831"/>
    <col min="8195" max="8195" width="18" style="831" customWidth="1"/>
    <col min="8196" max="8196" width="21.42578125" style="831" bestFit="1" customWidth="1"/>
    <col min="8197" max="8197" width="15.42578125" style="831" bestFit="1" customWidth="1"/>
    <col min="8198" max="8198" width="16.85546875" style="831" bestFit="1" customWidth="1"/>
    <col min="8199" max="8199" width="21.28515625" style="831" bestFit="1" customWidth="1"/>
    <col min="8200" max="8200" width="16.42578125" style="831" bestFit="1" customWidth="1"/>
    <col min="8201" max="8450" width="11.42578125" style="831"/>
    <col min="8451" max="8451" width="18" style="831" customWidth="1"/>
    <col min="8452" max="8452" width="21.42578125" style="831" bestFit="1" customWidth="1"/>
    <col min="8453" max="8453" width="15.42578125" style="831" bestFit="1" customWidth="1"/>
    <col min="8454" max="8454" width="16.85546875" style="831" bestFit="1" customWidth="1"/>
    <col min="8455" max="8455" width="21.28515625" style="831" bestFit="1" customWidth="1"/>
    <col min="8456" max="8456" width="16.42578125" style="831" bestFit="1" customWidth="1"/>
    <col min="8457" max="8706" width="11.42578125" style="831"/>
    <col min="8707" max="8707" width="18" style="831" customWidth="1"/>
    <col min="8708" max="8708" width="21.42578125" style="831" bestFit="1" customWidth="1"/>
    <col min="8709" max="8709" width="15.42578125" style="831" bestFit="1" customWidth="1"/>
    <col min="8710" max="8710" width="16.85546875" style="831" bestFit="1" customWidth="1"/>
    <col min="8711" max="8711" width="21.28515625" style="831" bestFit="1" customWidth="1"/>
    <col min="8712" max="8712" width="16.42578125" style="831" bestFit="1" customWidth="1"/>
    <col min="8713" max="8962" width="11.42578125" style="831"/>
    <col min="8963" max="8963" width="18" style="831" customWidth="1"/>
    <col min="8964" max="8964" width="21.42578125" style="831" bestFit="1" customWidth="1"/>
    <col min="8965" max="8965" width="15.42578125" style="831" bestFit="1" customWidth="1"/>
    <col min="8966" max="8966" width="16.85546875" style="831" bestFit="1" customWidth="1"/>
    <col min="8967" max="8967" width="21.28515625" style="831" bestFit="1" customWidth="1"/>
    <col min="8968" max="8968" width="16.42578125" style="831" bestFit="1" customWidth="1"/>
    <col min="8969" max="9218" width="11.42578125" style="831"/>
    <col min="9219" max="9219" width="18" style="831" customWidth="1"/>
    <col min="9220" max="9220" width="21.42578125" style="831" bestFit="1" customWidth="1"/>
    <col min="9221" max="9221" width="15.42578125" style="831" bestFit="1" customWidth="1"/>
    <col min="9222" max="9222" width="16.85546875" style="831" bestFit="1" customWidth="1"/>
    <col min="9223" max="9223" width="21.28515625" style="831" bestFit="1" customWidth="1"/>
    <col min="9224" max="9224" width="16.42578125" style="831" bestFit="1" customWidth="1"/>
    <col min="9225" max="9474" width="11.42578125" style="831"/>
    <col min="9475" max="9475" width="18" style="831" customWidth="1"/>
    <col min="9476" max="9476" width="21.42578125" style="831" bestFit="1" customWidth="1"/>
    <col min="9477" max="9477" width="15.42578125" style="831" bestFit="1" customWidth="1"/>
    <col min="9478" max="9478" width="16.85546875" style="831" bestFit="1" customWidth="1"/>
    <col min="9479" max="9479" width="21.28515625" style="831" bestFit="1" customWidth="1"/>
    <col min="9480" max="9480" width="16.42578125" style="831" bestFit="1" customWidth="1"/>
    <col min="9481" max="9730" width="11.42578125" style="831"/>
    <col min="9731" max="9731" width="18" style="831" customWidth="1"/>
    <col min="9732" max="9732" width="21.42578125" style="831" bestFit="1" customWidth="1"/>
    <col min="9733" max="9733" width="15.42578125" style="831" bestFit="1" customWidth="1"/>
    <col min="9734" max="9734" width="16.85546875" style="831" bestFit="1" customWidth="1"/>
    <col min="9735" max="9735" width="21.28515625" style="831" bestFit="1" customWidth="1"/>
    <col min="9736" max="9736" width="16.42578125" style="831" bestFit="1" customWidth="1"/>
    <col min="9737" max="9986" width="11.42578125" style="831"/>
    <col min="9987" max="9987" width="18" style="831" customWidth="1"/>
    <col min="9988" max="9988" width="21.42578125" style="831" bestFit="1" customWidth="1"/>
    <col min="9989" max="9989" width="15.42578125" style="831" bestFit="1" customWidth="1"/>
    <col min="9990" max="9990" width="16.85546875" style="831" bestFit="1" customWidth="1"/>
    <col min="9991" max="9991" width="21.28515625" style="831" bestFit="1" customWidth="1"/>
    <col min="9992" max="9992" width="16.42578125" style="831" bestFit="1" customWidth="1"/>
    <col min="9993" max="10242" width="11.42578125" style="831"/>
    <col min="10243" max="10243" width="18" style="831" customWidth="1"/>
    <col min="10244" max="10244" width="21.42578125" style="831" bestFit="1" customWidth="1"/>
    <col min="10245" max="10245" width="15.42578125" style="831" bestFit="1" customWidth="1"/>
    <col min="10246" max="10246" width="16.85546875" style="831" bestFit="1" customWidth="1"/>
    <col min="10247" max="10247" width="21.28515625" style="831" bestFit="1" customWidth="1"/>
    <col min="10248" max="10248" width="16.42578125" style="831" bestFit="1" customWidth="1"/>
    <col min="10249" max="10498" width="11.42578125" style="831"/>
    <col min="10499" max="10499" width="18" style="831" customWidth="1"/>
    <col min="10500" max="10500" width="21.42578125" style="831" bestFit="1" customWidth="1"/>
    <col min="10501" max="10501" width="15.42578125" style="831" bestFit="1" customWidth="1"/>
    <col min="10502" max="10502" width="16.85546875" style="831" bestFit="1" customWidth="1"/>
    <col min="10503" max="10503" width="21.28515625" style="831" bestFit="1" customWidth="1"/>
    <col min="10504" max="10504" width="16.42578125" style="831" bestFit="1" customWidth="1"/>
    <col min="10505" max="10754" width="11.42578125" style="831"/>
    <col min="10755" max="10755" width="18" style="831" customWidth="1"/>
    <col min="10756" max="10756" width="21.42578125" style="831" bestFit="1" customWidth="1"/>
    <col min="10757" max="10757" width="15.42578125" style="831" bestFit="1" customWidth="1"/>
    <col min="10758" max="10758" width="16.85546875" style="831" bestFit="1" customWidth="1"/>
    <col min="10759" max="10759" width="21.28515625" style="831" bestFit="1" customWidth="1"/>
    <col min="10760" max="10760" width="16.42578125" style="831" bestFit="1" customWidth="1"/>
    <col min="10761" max="11010" width="11.42578125" style="831"/>
    <col min="11011" max="11011" width="18" style="831" customWidth="1"/>
    <col min="11012" max="11012" width="21.42578125" style="831" bestFit="1" customWidth="1"/>
    <col min="11013" max="11013" width="15.42578125" style="831" bestFit="1" customWidth="1"/>
    <col min="11014" max="11014" width="16.85546875" style="831" bestFit="1" customWidth="1"/>
    <col min="11015" max="11015" width="21.28515625" style="831" bestFit="1" customWidth="1"/>
    <col min="11016" max="11016" width="16.42578125" style="831" bestFit="1" customWidth="1"/>
    <col min="11017" max="11266" width="11.42578125" style="831"/>
    <col min="11267" max="11267" width="18" style="831" customWidth="1"/>
    <col min="11268" max="11268" width="21.42578125" style="831" bestFit="1" customWidth="1"/>
    <col min="11269" max="11269" width="15.42578125" style="831" bestFit="1" customWidth="1"/>
    <col min="11270" max="11270" width="16.85546875" style="831" bestFit="1" customWidth="1"/>
    <col min="11271" max="11271" width="21.28515625" style="831" bestFit="1" customWidth="1"/>
    <col min="11272" max="11272" width="16.42578125" style="831" bestFit="1" customWidth="1"/>
    <col min="11273" max="11522" width="11.42578125" style="831"/>
    <col min="11523" max="11523" width="18" style="831" customWidth="1"/>
    <col min="11524" max="11524" width="21.42578125" style="831" bestFit="1" customWidth="1"/>
    <col min="11525" max="11525" width="15.42578125" style="831" bestFit="1" customWidth="1"/>
    <col min="11526" max="11526" width="16.85546875" style="831" bestFit="1" customWidth="1"/>
    <col min="11527" max="11527" width="21.28515625" style="831" bestFit="1" customWidth="1"/>
    <col min="11528" max="11528" width="16.42578125" style="831" bestFit="1" customWidth="1"/>
    <col min="11529" max="11778" width="11.42578125" style="831"/>
    <col min="11779" max="11779" width="18" style="831" customWidth="1"/>
    <col min="11780" max="11780" width="21.42578125" style="831" bestFit="1" customWidth="1"/>
    <col min="11781" max="11781" width="15.42578125" style="831" bestFit="1" customWidth="1"/>
    <col min="11782" max="11782" width="16.85546875" style="831" bestFit="1" customWidth="1"/>
    <col min="11783" max="11783" width="21.28515625" style="831" bestFit="1" customWidth="1"/>
    <col min="11784" max="11784" width="16.42578125" style="831" bestFit="1" customWidth="1"/>
    <col min="11785" max="12034" width="11.42578125" style="831"/>
    <col min="12035" max="12035" width="18" style="831" customWidth="1"/>
    <col min="12036" max="12036" width="21.42578125" style="831" bestFit="1" customWidth="1"/>
    <col min="12037" max="12037" width="15.42578125" style="831" bestFit="1" customWidth="1"/>
    <col min="12038" max="12038" width="16.85546875" style="831" bestFit="1" customWidth="1"/>
    <col min="12039" max="12039" width="21.28515625" style="831" bestFit="1" customWidth="1"/>
    <col min="12040" max="12040" width="16.42578125" style="831" bestFit="1" customWidth="1"/>
    <col min="12041" max="12290" width="11.42578125" style="831"/>
    <col min="12291" max="12291" width="18" style="831" customWidth="1"/>
    <col min="12292" max="12292" width="21.42578125" style="831" bestFit="1" customWidth="1"/>
    <col min="12293" max="12293" width="15.42578125" style="831" bestFit="1" customWidth="1"/>
    <col min="12294" max="12294" width="16.85546875" style="831" bestFit="1" customWidth="1"/>
    <col min="12295" max="12295" width="21.28515625" style="831" bestFit="1" customWidth="1"/>
    <col min="12296" max="12296" width="16.42578125" style="831" bestFit="1" customWidth="1"/>
    <col min="12297" max="12546" width="11.42578125" style="831"/>
    <col min="12547" max="12547" width="18" style="831" customWidth="1"/>
    <col min="12548" max="12548" width="21.42578125" style="831" bestFit="1" customWidth="1"/>
    <col min="12549" max="12549" width="15.42578125" style="831" bestFit="1" customWidth="1"/>
    <col min="12550" max="12550" width="16.85546875" style="831" bestFit="1" customWidth="1"/>
    <col min="12551" max="12551" width="21.28515625" style="831" bestFit="1" customWidth="1"/>
    <col min="12552" max="12552" width="16.42578125" style="831" bestFit="1" customWidth="1"/>
    <col min="12553" max="12802" width="11.42578125" style="831"/>
    <col min="12803" max="12803" width="18" style="831" customWidth="1"/>
    <col min="12804" max="12804" width="21.42578125" style="831" bestFit="1" customWidth="1"/>
    <col min="12805" max="12805" width="15.42578125" style="831" bestFit="1" customWidth="1"/>
    <col min="12806" max="12806" width="16.85546875" style="831" bestFit="1" customWidth="1"/>
    <col min="12807" max="12807" width="21.28515625" style="831" bestFit="1" customWidth="1"/>
    <col min="12808" max="12808" width="16.42578125" style="831" bestFit="1" customWidth="1"/>
    <col min="12809" max="13058" width="11.42578125" style="831"/>
    <col min="13059" max="13059" width="18" style="831" customWidth="1"/>
    <col min="13060" max="13060" width="21.42578125" style="831" bestFit="1" customWidth="1"/>
    <col min="13061" max="13061" width="15.42578125" style="831" bestFit="1" customWidth="1"/>
    <col min="13062" max="13062" width="16.85546875" style="831" bestFit="1" customWidth="1"/>
    <col min="13063" max="13063" width="21.28515625" style="831" bestFit="1" customWidth="1"/>
    <col min="13064" max="13064" width="16.42578125" style="831" bestFit="1" customWidth="1"/>
    <col min="13065" max="13314" width="11.42578125" style="831"/>
    <col min="13315" max="13315" width="18" style="831" customWidth="1"/>
    <col min="13316" max="13316" width="21.42578125" style="831" bestFit="1" customWidth="1"/>
    <col min="13317" max="13317" width="15.42578125" style="831" bestFit="1" customWidth="1"/>
    <col min="13318" max="13318" width="16.85546875" style="831" bestFit="1" customWidth="1"/>
    <col min="13319" max="13319" width="21.28515625" style="831" bestFit="1" customWidth="1"/>
    <col min="13320" max="13320" width="16.42578125" style="831" bestFit="1" customWidth="1"/>
    <col min="13321" max="13570" width="11.42578125" style="831"/>
    <col min="13571" max="13571" width="18" style="831" customWidth="1"/>
    <col min="13572" max="13572" width="21.42578125" style="831" bestFit="1" customWidth="1"/>
    <col min="13573" max="13573" width="15.42578125" style="831" bestFit="1" customWidth="1"/>
    <col min="13574" max="13574" width="16.85546875" style="831" bestFit="1" customWidth="1"/>
    <col min="13575" max="13575" width="21.28515625" style="831" bestFit="1" customWidth="1"/>
    <col min="13576" max="13576" width="16.42578125" style="831" bestFit="1" customWidth="1"/>
    <col min="13577" max="13826" width="11.42578125" style="831"/>
    <col min="13827" max="13827" width="18" style="831" customWidth="1"/>
    <col min="13828" max="13828" width="21.42578125" style="831" bestFit="1" customWidth="1"/>
    <col min="13829" max="13829" width="15.42578125" style="831" bestFit="1" customWidth="1"/>
    <col min="13830" max="13830" width="16.85546875" style="831" bestFit="1" customWidth="1"/>
    <col min="13831" max="13831" width="21.28515625" style="831" bestFit="1" customWidth="1"/>
    <col min="13832" max="13832" width="16.42578125" style="831" bestFit="1" customWidth="1"/>
    <col min="13833" max="14082" width="11.42578125" style="831"/>
    <col min="14083" max="14083" width="18" style="831" customWidth="1"/>
    <col min="14084" max="14084" width="21.42578125" style="831" bestFit="1" customWidth="1"/>
    <col min="14085" max="14085" width="15.42578125" style="831" bestFit="1" customWidth="1"/>
    <col min="14086" max="14086" width="16.85546875" style="831" bestFit="1" customWidth="1"/>
    <col min="14087" max="14087" width="21.28515625" style="831" bestFit="1" customWidth="1"/>
    <col min="14088" max="14088" width="16.42578125" style="831" bestFit="1" customWidth="1"/>
    <col min="14089" max="14338" width="11.42578125" style="831"/>
    <col min="14339" max="14339" width="18" style="831" customWidth="1"/>
    <col min="14340" max="14340" width="21.42578125" style="831" bestFit="1" customWidth="1"/>
    <col min="14341" max="14341" width="15.42578125" style="831" bestFit="1" customWidth="1"/>
    <col min="14342" max="14342" width="16.85546875" style="831" bestFit="1" customWidth="1"/>
    <col min="14343" max="14343" width="21.28515625" style="831" bestFit="1" customWidth="1"/>
    <col min="14344" max="14344" width="16.42578125" style="831" bestFit="1" customWidth="1"/>
    <col min="14345" max="14594" width="11.42578125" style="831"/>
    <col min="14595" max="14595" width="18" style="831" customWidth="1"/>
    <col min="14596" max="14596" width="21.42578125" style="831" bestFit="1" customWidth="1"/>
    <col min="14597" max="14597" width="15.42578125" style="831" bestFit="1" customWidth="1"/>
    <col min="14598" max="14598" width="16.85546875" style="831" bestFit="1" customWidth="1"/>
    <col min="14599" max="14599" width="21.28515625" style="831" bestFit="1" customWidth="1"/>
    <col min="14600" max="14600" width="16.42578125" style="831" bestFit="1" customWidth="1"/>
    <col min="14601" max="14850" width="11.42578125" style="831"/>
    <col min="14851" max="14851" width="18" style="831" customWidth="1"/>
    <col min="14852" max="14852" width="21.42578125" style="831" bestFit="1" customWidth="1"/>
    <col min="14853" max="14853" width="15.42578125" style="831" bestFit="1" customWidth="1"/>
    <col min="14854" max="14854" width="16.85546875" style="831" bestFit="1" customWidth="1"/>
    <col min="14855" max="14855" width="21.28515625" style="831" bestFit="1" customWidth="1"/>
    <col min="14856" max="14856" width="16.42578125" style="831" bestFit="1" customWidth="1"/>
    <col min="14857" max="15106" width="11.42578125" style="831"/>
    <col min="15107" max="15107" width="18" style="831" customWidth="1"/>
    <col min="15108" max="15108" width="21.42578125" style="831" bestFit="1" customWidth="1"/>
    <col min="15109" max="15109" width="15.42578125" style="831" bestFit="1" customWidth="1"/>
    <col min="15110" max="15110" width="16.85546875" style="831" bestFit="1" customWidth="1"/>
    <col min="15111" max="15111" width="21.28515625" style="831" bestFit="1" customWidth="1"/>
    <col min="15112" max="15112" width="16.42578125" style="831" bestFit="1" customWidth="1"/>
    <col min="15113" max="15362" width="11.42578125" style="831"/>
    <col min="15363" max="15363" width="18" style="831" customWidth="1"/>
    <col min="15364" max="15364" width="21.42578125" style="831" bestFit="1" customWidth="1"/>
    <col min="15365" max="15365" width="15.42578125" style="831" bestFit="1" customWidth="1"/>
    <col min="15366" max="15366" width="16.85546875" style="831" bestFit="1" customWidth="1"/>
    <col min="15367" max="15367" width="21.28515625" style="831" bestFit="1" customWidth="1"/>
    <col min="15368" max="15368" width="16.42578125" style="831" bestFit="1" customWidth="1"/>
    <col min="15369" max="15618" width="11.42578125" style="831"/>
    <col min="15619" max="15619" width="18" style="831" customWidth="1"/>
    <col min="15620" max="15620" width="21.42578125" style="831" bestFit="1" customWidth="1"/>
    <col min="15621" max="15621" width="15.42578125" style="831" bestFit="1" customWidth="1"/>
    <col min="15622" max="15622" width="16.85546875" style="831" bestFit="1" customWidth="1"/>
    <col min="15623" max="15623" width="21.28515625" style="831" bestFit="1" customWidth="1"/>
    <col min="15624" max="15624" width="16.42578125" style="831" bestFit="1" customWidth="1"/>
    <col min="15625" max="15874" width="11.42578125" style="831"/>
    <col min="15875" max="15875" width="18" style="831" customWidth="1"/>
    <col min="15876" max="15876" width="21.42578125" style="831" bestFit="1" customWidth="1"/>
    <col min="15877" max="15877" width="15.42578125" style="831" bestFit="1" customWidth="1"/>
    <col min="15878" max="15878" width="16.85546875" style="831" bestFit="1" customWidth="1"/>
    <col min="15879" max="15879" width="21.28515625" style="831" bestFit="1" customWidth="1"/>
    <col min="15880" max="15880" width="16.42578125" style="831" bestFit="1" customWidth="1"/>
    <col min="15881" max="16130" width="11.42578125" style="831"/>
    <col min="16131" max="16131" width="18" style="831" customWidth="1"/>
    <col min="16132" max="16132" width="21.42578125" style="831" bestFit="1" customWidth="1"/>
    <col min="16133" max="16133" width="15.42578125" style="831" bestFit="1" customWidth="1"/>
    <col min="16134" max="16134" width="16.85546875" style="831" bestFit="1" customWidth="1"/>
    <col min="16135" max="16135" width="21.28515625" style="831" bestFit="1" customWidth="1"/>
    <col min="16136" max="16136" width="16.42578125" style="831" bestFit="1" customWidth="1"/>
    <col min="16137" max="16384" width="11.42578125" style="831"/>
  </cols>
  <sheetData>
    <row r="1" spans="1:8" ht="13.5" thickBot="1"/>
    <row r="2" spans="1:8" ht="13.5" thickBot="1">
      <c r="A2" s="963" t="s">
        <v>4341</v>
      </c>
      <c r="B2" s="1424" t="s">
        <v>4342</v>
      </c>
      <c r="C2" s="1425"/>
    </row>
    <row r="4" spans="1:8" ht="13.5" thickBot="1"/>
    <row r="5" spans="1:8" ht="13.5" thickBot="1">
      <c r="C5" s="1513" t="s">
        <v>2486</v>
      </c>
      <c r="D5" s="1514" t="s">
        <v>2780</v>
      </c>
      <c r="E5" s="1515" t="s">
        <v>2781</v>
      </c>
      <c r="F5" s="1514" t="s">
        <v>2747</v>
      </c>
      <c r="G5" s="1515" t="s">
        <v>2748</v>
      </c>
      <c r="H5" s="1514" t="s">
        <v>4126</v>
      </c>
    </row>
    <row r="6" spans="1:8" ht="13.5" thickTop="1">
      <c r="C6" s="1392"/>
      <c r="D6" s="1428"/>
      <c r="E6" s="1096"/>
      <c r="F6" s="1428"/>
      <c r="G6" s="1096"/>
      <c r="H6" s="1428"/>
    </row>
    <row r="7" spans="1:8">
      <c r="A7" s="963" t="s">
        <v>251</v>
      </c>
      <c r="B7" s="1516"/>
      <c r="C7" s="1517">
        <v>0.4</v>
      </c>
      <c r="D7" s="1518">
        <v>75</v>
      </c>
      <c r="E7" s="1519">
        <v>30</v>
      </c>
      <c r="F7" s="1518">
        <v>15</v>
      </c>
      <c r="G7" s="1519">
        <v>52.5</v>
      </c>
      <c r="H7" s="1520">
        <v>21</v>
      </c>
    </row>
    <row r="8" spans="1:8">
      <c r="A8" s="963" t="s">
        <v>248</v>
      </c>
      <c r="B8" s="963"/>
      <c r="C8" s="1439">
        <v>2.5</v>
      </c>
      <c r="D8" s="1428">
        <v>12</v>
      </c>
      <c r="E8" s="1521">
        <v>30</v>
      </c>
      <c r="F8" s="1428">
        <v>24</v>
      </c>
      <c r="G8" s="1521">
        <v>33.6</v>
      </c>
      <c r="H8" s="1520">
        <v>84</v>
      </c>
    </row>
    <row r="9" spans="1:8">
      <c r="A9" s="963" t="s">
        <v>246</v>
      </c>
      <c r="B9" s="963"/>
      <c r="C9" s="1517">
        <v>0.42857142857142855</v>
      </c>
      <c r="D9" s="1522">
        <v>49</v>
      </c>
      <c r="E9" s="1523">
        <v>21</v>
      </c>
      <c r="F9" s="1522">
        <v>21</v>
      </c>
      <c r="G9" s="1519">
        <v>70</v>
      </c>
      <c r="H9" s="1518">
        <v>30</v>
      </c>
    </row>
    <row r="10" spans="1:8">
      <c r="A10" s="963" t="s">
        <v>3511</v>
      </c>
      <c r="B10" s="963"/>
      <c r="C10" s="1439">
        <v>1.75</v>
      </c>
      <c r="D10" s="1522">
        <v>16</v>
      </c>
      <c r="E10" s="1096">
        <v>28</v>
      </c>
      <c r="F10" s="1524">
        <v>21</v>
      </c>
      <c r="G10" s="1519">
        <v>33</v>
      </c>
      <c r="H10" s="1428">
        <v>57.75</v>
      </c>
    </row>
    <row r="11" spans="1:8">
      <c r="A11" s="963" t="s">
        <v>3513</v>
      </c>
      <c r="B11" s="963"/>
      <c r="C11" s="1525">
        <v>0.44444444444444442</v>
      </c>
      <c r="D11" s="1518">
        <v>36</v>
      </c>
      <c r="E11" s="1523">
        <v>16</v>
      </c>
      <c r="F11" s="1522">
        <v>18</v>
      </c>
      <c r="G11" s="1523">
        <v>58.5</v>
      </c>
      <c r="H11" s="1520">
        <v>26</v>
      </c>
    </row>
    <row r="12" spans="1:8" ht="13.5" thickBot="1">
      <c r="A12" s="963" t="s">
        <v>2494</v>
      </c>
      <c r="B12" s="963"/>
      <c r="C12" s="1526">
        <v>1.6666666666666667</v>
      </c>
      <c r="D12" s="1527">
        <v>30</v>
      </c>
      <c r="E12" s="1400">
        <v>50</v>
      </c>
      <c r="F12" s="1528">
        <v>18</v>
      </c>
      <c r="G12" s="1396">
        <v>28.8</v>
      </c>
      <c r="H12" s="1528">
        <v>48</v>
      </c>
    </row>
    <row r="15" spans="1:8">
      <c r="A15" s="1529" t="s">
        <v>251</v>
      </c>
      <c r="B15" s="1530" t="s">
        <v>4343</v>
      </c>
      <c r="C15" s="1531">
        <v>3.5</v>
      </c>
      <c r="D15" s="1491"/>
      <c r="E15" s="1532" t="s">
        <v>4344</v>
      </c>
      <c r="F15" s="1491"/>
      <c r="G15" s="1532" t="s">
        <v>4329</v>
      </c>
      <c r="H15" s="1533" t="s">
        <v>4345</v>
      </c>
    </row>
    <row r="16" spans="1:8">
      <c r="A16" s="1529" t="s">
        <v>248</v>
      </c>
      <c r="B16" s="1534" t="s">
        <v>4343</v>
      </c>
      <c r="C16" s="1535">
        <v>1.4</v>
      </c>
      <c r="D16" s="1536"/>
      <c r="E16" s="1537" t="s">
        <v>4344</v>
      </c>
      <c r="F16" s="1536"/>
      <c r="G16" s="1537" t="s">
        <v>4329</v>
      </c>
      <c r="H16" s="1533" t="s">
        <v>4345</v>
      </c>
    </row>
    <row r="17" spans="1:8">
      <c r="A17" s="1529" t="s">
        <v>246</v>
      </c>
      <c r="B17" s="1530" t="s">
        <v>4343</v>
      </c>
      <c r="C17" s="1531">
        <v>3.3333333333333335</v>
      </c>
      <c r="D17" s="1533" t="s">
        <v>4346</v>
      </c>
      <c r="E17" s="1523"/>
      <c r="F17" s="1533" t="s">
        <v>4347</v>
      </c>
      <c r="G17" s="1532" t="s">
        <v>4322</v>
      </c>
      <c r="H17" s="1491"/>
    </row>
    <row r="18" spans="1:8">
      <c r="A18" s="1529" t="s">
        <v>3511</v>
      </c>
      <c r="B18" s="1534" t="s">
        <v>4343</v>
      </c>
      <c r="C18" s="1535">
        <v>1.5714285714285714</v>
      </c>
      <c r="D18" s="1538" t="s">
        <v>4346</v>
      </c>
      <c r="E18" s="1129"/>
      <c r="F18" s="1538" t="s">
        <v>4347</v>
      </c>
      <c r="G18" s="1537" t="s">
        <v>4322</v>
      </c>
      <c r="H18" s="1536"/>
    </row>
    <row r="19" spans="1:8">
      <c r="A19" s="1529" t="s">
        <v>3513</v>
      </c>
      <c r="B19" s="1539" t="s">
        <v>4343</v>
      </c>
      <c r="C19" s="1540">
        <v>3.25</v>
      </c>
      <c r="D19" s="1541"/>
      <c r="E19" s="1093"/>
      <c r="F19" s="1542" t="s">
        <v>4347</v>
      </c>
      <c r="G19" s="1093"/>
      <c r="H19" s="1542" t="s">
        <v>4345</v>
      </c>
    </row>
    <row r="20" spans="1:8">
      <c r="A20" s="1529"/>
      <c r="B20" s="1098"/>
      <c r="C20" s="1431" t="s">
        <v>4348</v>
      </c>
      <c r="D20" s="1543"/>
      <c r="E20" s="1096"/>
      <c r="F20" s="1544"/>
      <c r="G20" s="1096"/>
      <c r="H20" s="1544"/>
    </row>
    <row r="21" spans="1:8">
      <c r="A21" s="1529" t="s">
        <v>2494</v>
      </c>
      <c r="B21" s="1119" t="s">
        <v>4343</v>
      </c>
      <c r="C21" s="1540">
        <v>1.6</v>
      </c>
      <c r="D21" s="1541"/>
      <c r="E21" s="1093"/>
      <c r="F21" s="1542" t="s">
        <v>4347</v>
      </c>
      <c r="G21" s="1093"/>
      <c r="H21" s="1542" t="s">
        <v>4345</v>
      </c>
    </row>
    <row r="22" spans="1:8">
      <c r="B22" s="1128"/>
      <c r="C22" s="1537" t="s">
        <v>4348</v>
      </c>
      <c r="D22" s="1536"/>
      <c r="E22" s="1129"/>
      <c r="F22" s="1538"/>
      <c r="G22" s="1129"/>
      <c r="H22" s="1538"/>
    </row>
  </sheetData>
  <pageMargins left="0.78740157499999996" right="0.78740157499999996" top="0.984251969" bottom="0.984251969" header="0.4921259845" footer="0.4921259845"/>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4349</v>
      </c>
      <c r="B2" s="1381" t="s">
        <v>4350</v>
      </c>
      <c r="C2" s="1382"/>
      <c r="D2" s="1382"/>
      <c r="E2" s="1382"/>
      <c r="F2" s="1382"/>
      <c r="G2" s="1382"/>
      <c r="H2" s="1383"/>
    </row>
    <row r="3" spans="1:8" ht="13.5" thickBot="1">
      <c r="B3" s="1386" t="s">
        <v>4351</v>
      </c>
      <c r="C3" s="1387"/>
      <c r="D3" s="1387"/>
      <c r="E3" s="1387"/>
      <c r="F3" s="1387"/>
      <c r="G3" s="1387"/>
      <c r="H3" s="1388"/>
    </row>
    <row r="5" spans="1:8">
      <c r="B5" s="818"/>
      <c r="C5" s="831" t="s">
        <v>3977</v>
      </c>
    </row>
    <row r="6" spans="1:8" ht="13.5" thickBot="1"/>
    <row r="7" spans="1:8">
      <c r="B7" s="1389" t="s">
        <v>3978</v>
      </c>
      <c r="C7" s="1390"/>
      <c r="D7" s="1390"/>
      <c r="E7" s="1391"/>
    </row>
    <row r="8" spans="1:8">
      <c r="B8" s="1392" t="s">
        <v>526</v>
      </c>
      <c r="C8" s="1096"/>
      <c r="D8" s="1393">
        <v>38.5</v>
      </c>
      <c r="E8" s="1394" t="s">
        <v>212</v>
      </c>
    </row>
    <row r="9" spans="1:8">
      <c r="B9" s="1392" t="s">
        <v>520</v>
      </c>
      <c r="C9" s="1096"/>
      <c r="D9" s="1393">
        <v>28</v>
      </c>
      <c r="E9" s="1394" t="s">
        <v>212</v>
      </c>
    </row>
    <row r="10" spans="1:8">
      <c r="B10" s="1392" t="s">
        <v>1959</v>
      </c>
      <c r="C10" s="1096"/>
      <c r="D10" s="1393">
        <v>14</v>
      </c>
      <c r="E10" s="1394" t="s">
        <v>212</v>
      </c>
    </row>
    <row r="11" spans="1:8" ht="13.5" thickBot="1">
      <c r="B11" s="1470" t="s">
        <v>1774</v>
      </c>
      <c r="C11" s="1396"/>
      <c r="D11" s="1397">
        <v>49</v>
      </c>
      <c r="E11" s="1545" t="s">
        <v>212</v>
      </c>
    </row>
    <row r="12" spans="1:8" ht="13.5" thickBot="1"/>
    <row r="13" spans="1:8" ht="13.5" thickBot="1">
      <c r="B13" s="1405" t="s">
        <v>2486</v>
      </c>
      <c r="C13" s="1406"/>
      <c r="D13" s="1406">
        <v>3.5</v>
      </c>
      <c r="E13" s="1408"/>
      <c r="F13" s="831" t="s">
        <v>4314</v>
      </c>
    </row>
    <row r="14" spans="1:8" ht="13.5" thickBot="1"/>
    <row r="15" spans="1:8">
      <c r="B15" s="1389" t="s">
        <v>3045</v>
      </c>
      <c r="C15" s="1390"/>
      <c r="D15" s="1502">
        <v>11</v>
      </c>
      <c r="E15" s="1391"/>
      <c r="F15" s="831" t="s">
        <v>4346</v>
      </c>
    </row>
    <row r="16" spans="1:8" ht="13.5" thickBot="1">
      <c r="B16" s="1395" t="s">
        <v>4000</v>
      </c>
      <c r="C16" s="1396"/>
      <c r="D16" s="1451">
        <v>8</v>
      </c>
      <c r="E16" s="1398"/>
      <c r="F16" s="831" t="s">
        <v>4352</v>
      </c>
    </row>
  </sheetData>
  <pageMargins left="0.78740157499999996" right="0.78740157499999996" top="0.984251969" bottom="0.984251969" header="0.4921259845" footer="0.4921259845"/>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7"/>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4353</v>
      </c>
      <c r="B2" s="1381" t="s">
        <v>4354</v>
      </c>
      <c r="C2" s="1382"/>
      <c r="D2" s="1382"/>
      <c r="E2" s="1382"/>
      <c r="F2" s="1382"/>
      <c r="G2" s="1382"/>
      <c r="H2" s="1383"/>
    </row>
    <row r="3" spans="1:8">
      <c r="B3" s="1384" t="s">
        <v>4355</v>
      </c>
      <c r="C3" s="829"/>
      <c r="D3" s="829"/>
      <c r="E3" s="829"/>
      <c r="F3" s="829"/>
      <c r="G3" s="829"/>
      <c r="H3" s="1385"/>
    </row>
    <row r="4" spans="1:8" ht="13.5" thickBot="1">
      <c r="B4" s="1386" t="s">
        <v>4356</v>
      </c>
      <c r="C4" s="1387"/>
      <c r="D4" s="1387"/>
      <c r="E4" s="1387"/>
      <c r="F4" s="1387"/>
      <c r="G4" s="1387"/>
      <c r="H4" s="1388"/>
    </row>
    <row r="6" spans="1:8">
      <c r="B6" s="818"/>
      <c r="C6" s="831" t="s">
        <v>3977</v>
      </c>
    </row>
    <row r="7" spans="1:8" ht="13.5" thickBot="1"/>
    <row r="8" spans="1:8">
      <c r="B8" s="1389" t="s">
        <v>3978</v>
      </c>
      <c r="C8" s="1390"/>
      <c r="D8" s="1390"/>
      <c r="E8" s="1391"/>
    </row>
    <row r="9" spans="1:8">
      <c r="B9" s="1392" t="s">
        <v>4357</v>
      </c>
      <c r="C9" s="1096"/>
      <c r="D9" s="1393">
        <v>3.6</v>
      </c>
      <c r="E9" s="1394" t="s">
        <v>212</v>
      </c>
    </row>
    <row r="10" spans="1:8">
      <c r="B10" s="1392" t="s">
        <v>3269</v>
      </c>
      <c r="C10" s="1096"/>
      <c r="D10" s="1393">
        <v>2.4</v>
      </c>
      <c r="E10" s="1394" t="s">
        <v>212</v>
      </c>
    </row>
    <row r="11" spans="1:8">
      <c r="B11" s="1392" t="s">
        <v>318</v>
      </c>
      <c r="C11" s="1096"/>
      <c r="D11" s="1393">
        <v>21.6</v>
      </c>
      <c r="E11" s="1394" t="s">
        <v>212</v>
      </c>
    </row>
    <row r="12" spans="1:8">
      <c r="B12" s="1392" t="s">
        <v>317</v>
      </c>
      <c r="C12" s="1096"/>
      <c r="D12" s="1393">
        <v>14.4</v>
      </c>
      <c r="E12" s="1394" t="s">
        <v>212</v>
      </c>
    </row>
    <row r="13" spans="1:8" ht="13.5" thickBot="1">
      <c r="B13" s="1395" t="s">
        <v>1774</v>
      </c>
      <c r="C13" s="1396"/>
      <c r="D13" s="1397">
        <v>8</v>
      </c>
      <c r="E13" s="1398" t="s">
        <v>212</v>
      </c>
    </row>
    <row r="14" spans="1:8" ht="13.5" thickBot="1"/>
    <row r="15" spans="1:8" ht="13.5" thickBot="1">
      <c r="B15" s="1405" t="s">
        <v>2486</v>
      </c>
      <c r="C15" s="1406"/>
      <c r="D15" s="1506">
        <v>6</v>
      </c>
      <c r="E15" s="1408"/>
      <c r="F15" s="831" t="s">
        <v>4358</v>
      </c>
    </row>
    <row r="16" spans="1:8" ht="13.5" thickBot="1"/>
    <row r="17" spans="2:6" ht="13.5" thickBot="1">
      <c r="B17" s="1405" t="s">
        <v>1959</v>
      </c>
      <c r="C17" s="1406"/>
      <c r="D17" s="1501">
        <v>1.3333333333333333</v>
      </c>
      <c r="E17" s="1408"/>
      <c r="F17" s="831" t="s">
        <v>4322</v>
      </c>
    </row>
  </sheetData>
  <pageMargins left="0.78740157499999996" right="0.78740157499999996" top="0.984251969" bottom="0.984251969" header="0.4921259845" footer="0.4921259845"/>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4359</v>
      </c>
      <c r="B2" s="1381" t="s">
        <v>4360</v>
      </c>
      <c r="C2" s="1382"/>
      <c r="D2" s="1382"/>
      <c r="E2" s="1382"/>
      <c r="F2" s="1382"/>
      <c r="G2" s="1382"/>
      <c r="H2" s="1383"/>
    </row>
    <row r="3" spans="1:8" ht="13.5" thickBot="1">
      <c r="B3" s="1386" t="s">
        <v>4361</v>
      </c>
      <c r="C3" s="1387"/>
      <c r="D3" s="1387"/>
      <c r="E3" s="1387"/>
      <c r="F3" s="1387"/>
      <c r="G3" s="1387"/>
      <c r="H3" s="1388"/>
    </row>
    <row r="5" spans="1:8">
      <c r="B5" s="818"/>
      <c r="C5" s="831" t="s">
        <v>3977</v>
      </c>
    </row>
    <row r="6" spans="1:8" ht="13.5" thickBot="1"/>
    <row r="7" spans="1:8">
      <c r="B7" s="1389" t="s">
        <v>3978</v>
      </c>
      <c r="C7" s="1390"/>
      <c r="D7" s="1390"/>
      <c r="E7" s="1391"/>
    </row>
    <row r="8" spans="1:8">
      <c r="B8" s="1392" t="s">
        <v>4357</v>
      </c>
      <c r="C8" s="1096"/>
      <c r="D8" s="1393">
        <v>3.6</v>
      </c>
      <c r="E8" s="1394" t="s">
        <v>212</v>
      </c>
    </row>
    <row r="9" spans="1:8">
      <c r="B9" s="1392" t="s">
        <v>3269</v>
      </c>
      <c r="C9" s="1096"/>
      <c r="D9" s="1393">
        <v>2.4</v>
      </c>
      <c r="E9" s="1394" t="s">
        <v>212</v>
      </c>
    </row>
    <row r="10" spans="1:8">
      <c r="B10" s="1392" t="s">
        <v>1774</v>
      </c>
      <c r="C10" s="1096"/>
      <c r="D10" s="1393">
        <v>12</v>
      </c>
      <c r="E10" s="1394" t="s">
        <v>212</v>
      </c>
    </row>
    <row r="11" spans="1:8" ht="13.5" thickBot="1">
      <c r="B11" s="1395" t="s">
        <v>1959</v>
      </c>
      <c r="C11" s="1396"/>
      <c r="D11" s="1397">
        <v>30</v>
      </c>
      <c r="E11" s="1398" t="s">
        <v>212</v>
      </c>
    </row>
    <row r="12" spans="1:8" ht="13.5" thickBot="1"/>
    <row r="13" spans="1:8" ht="13.5" thickBot="1">
      <c r="B13" s="1405" t="s">
        <v>2486</v>
      </c>
      <c r="C13" s="1406"/>
      <c r="D13" s="1406">
        <v>0.4</v>
      </c>
      <c r="E13" s="1408"/>
      <c r="F13" s="831" t="s">
        <v>4314</v>
      </c>
    </row>
    <row r="14" spans="1:8" ht="13.5" thickBot="1"/>
    <row r="15" spans="1:8">
      <c r="B15" s="1389" t="s">
        <v>318</v>
      </c>
      <c r="C15" s="1390"/>
      <c r="D15" s="1502">
        <v>9</v>
      </c>
      <c r="E15" s="1391" t="s">
        <v>212</v>
      </c>
      <c r="F15" s="831" t="s">
        <v>4362</v>
      </c>
    </row>
    <row r="16" spans="1:8" ht="13.5" thickBot="1">
      <c r="B16" s="1395" t="s">
        <v>317</v>
      </c>
      <c r="C16" s="1396"/>
      <c r="D16" s="1451">
        <v>6</v>
      </c>
      <c r="E16" s="1398" t="s">
        <v>212</v>
      </c>
      <c r="F16" s="831" t="s">
        <v>4363</v>
      </c>
    </row>
  </sheetData>
  <pageMargins left="0.78740157499999996" right="0.78740157499999996" top="0.984251969" bottom="0.984251969" header="0.4921259845" footer="0.4921259845"/>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6"/>
  <sheetViews>
    <sheetView workbookViewId="0">
      <selection activeCell="J26" sqref="J26"/>
    </sheetView>
  </sheetViews>
  <sheetFormatPr baseColWidth="10" defaultColWidth="11.42578125" defaultRowHeight="12.75"/>
  <cols>
    <col min="1" max="16384" width="11.42578125" style="831"/>
  </cols>
  <sheetData>
    <row r="1" spans="1:7" ht="13.5" thickBot="1"/>
    <row r="2" spans="1:7">
      <c r="A2" s="963" t="s">
        <v>4364</v>
      </c>
      <c r="B2" s="1381" t="s">
        <v>4365</v>
      </c>
      <c r="C2" s="1382"/>
      <c r="D2" s="1382"/>
      <c r="E2" s="1382"/>
      <c r="F2" s="1382"/>
      <c r="G2" s="1383"/>
    </row>
    <row r="3" spans="1:7" ht="13.5" thickBot="1">
      <c r="B3" s="1386" t="s">
        <v>4366</v>
      </c>
      <c r="C3" s="1387"/>
      <c r="D3" s="1387"/>
      <c r="E3" s="1387"/>
      <c r="F3" s="1387"/>
      <c r="G3" s="1388"/>
    </row>
    <row r="5" spans="1:7">
      <c r="B5" s="818"/>
      <c r="C5" s="831" t="s">
        <v>3977</v>
      </c>
    </row>
    <row r="6" spans="1:7" ht="13.5" thickBot="1"/>
    <row r="7" spans="1:7">
      <c r="B7" s="1389" t="s">
        <v>3978</v>
      </c>
      <c r="C7" s="1390"/>
      <c r="D7" s="1390"/>
      <c r="E7" s="1391"/>
    </row>
    <row r="8" spans="1:7">
      <c r="B8" s="1392" t="s">
        <v>4357</v>
      </c>
      <c r="C8" s="1096"/>
      <c r="D8" s="1393">
        <v>9</v>
      </c>
      <c r="E8" s="1394" t="s">
        <v>212</v>
      </c>
    </row>
    <row r="9" spans="1:7">
      <c r="B9" s="1392" t="s">
        <v>3269</v>
      </c>
      <c r="C9" s="1096"/>
      <c r="D9" s="1393">
        <v>6</v>
      </c>
      <c r="E9" s="1394" t="s">
        <v>212</v>
      </c>
    </row>
    <row r="10" spans="1:7">
      <c r="B10" s="1392" t="s">
        <v>318</v>
      </c>
      <c r="C10" s="1096"/>
      <c r="D10" s="1393">
        <v>45</v>
      </c>
      <c r="E10" s="1394" t="s">
        <v>212</v>
      </c>
    </row>
    <row r="11" spans="1:7">
      <c r="B11" s="1392" t="s">
        <v>317</v>
      </c>
      <c r="C11" s="1096"/>
      <c r="D11" s="1393">
        <v>30</v>
      </c>
      <c r="E11" s="1394" t="s">
        <v>212</v>
      </c>
    </row>
    <row r="12" spans="1:7" ht="13.5" thickBot="1">
      <c r="B12" s="1395" t="s">
        <v>1774</v>
      </c>
      <c r="C12" s="1396"/>
      <c r="D12" s="1397">
        <v>12</v>
      </c>
      <c r="E12" s="1398" t="s">
        <v>212</v>
      </c>
    </row>
    <row r="13" spans="1:7" ht="13.5" thickBot="1"/>
    <row r="14" spans="1:7" ht="13.5" thickBot="1">
      <c r="B14" s="1405" t="s">
        <v>2486</v>
      </c>
      <c r="C14" s="1406"/>
      <c r="D14" s="1506">
        <v>0.2</v>
      </c>
      <c r="E14" s="1408"/>
      <c r="F14" s="831" t="s">
        <v>4358</v>
      </c>
    </row>
    <row r="15" spans="1:7" ht="13.5" thickBot="1"/>
    <row r="16" spans="1:7" ht="13.5" thickBot="1">
      <c r="B16" s="1405" t="s">
        <v>1959</v>
      </c>
      <c r="C16" s="1406"/>
      <c r="D16" s="1546">
        <v>60</v>
      </c>
      <c r="E16" s="1408" t="s">
        <v>212</v>
      </c>
      <c r="F16" s="831" t="s">
        <v>4322</v>
      </c>
    </row>
  </sheetData>
  <pageMargins left="0.78740157499999996" right="0.78740157499999996" top="0.984251969" bottom="0.984251969" header="0.4921259845" footer="0.4921259845"/>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
  <sheetViews>
    <sheetView workbookViewId="0">
      <selection activeCell="J26" sqref="J26"/>
    </sheetView>
  </sheetViews>
  <sheetFormatPr baseColWidth="10" defaultColWidth="11.42578125" defaultRowHeight="12.75"/>
  <cols>
    <col min="1" max="16384" width="11.42578125" style="831"/>
  </cols>
  <sheetData>
    <row r="1" spans="1:8" ht="13.5" thickBot="1"/>
    <row r="2" spans="1:8">
      <c r="A2" s="963" t="s">
        <v>4367</v>
      </c>
      <c r="B2" s="1381" t="s">
        <v>4368</v>
      </c>
      <c r="C2" s="1382"/>
      <c r="D2" s="1382"/>
      <c r="E2" s="1382"/>
      <c r="F2" s="1382"/>
      <c r="G2" s="1382"/>
      <c r="H2" s="1383"/>
    </row>
    <row r="3" spans="1:8" ht="13.5" thickBot="1">
      <c r="B3" s="1386" t="s">
        <v>4369</v>
      </c>
      <c r="C3" s="1387"/>
      <c r="D3" s="1387"/>
      <c r="E3" s="1387"/>
      <c r="F3" s="1387"/>
      <c r="G3" s="1387"/>
      <c r="H3" s="1388"/>
    </row>
    <row r="5" spans="1:8">
      <c r="B5" s="818"/>
      <c r="C5" s="831" t="s">
        <v>3977</v>
      </c>
    </row>
    <row r="6" spans="1:8" ht="13.5" thickBot="1"/>
    <row r="7" spans="1:8">
      <c r="B7" s="1389" t="s">
        <v>3978</v>
      </c>
      <c r="C7" s="1390"/>
      <c r="D7" s="1390"/>
      <c r="E7" s="1391"/>
    </row>
    <row r="8" spans="1:8">
      <c r="B8" s="1392" t="s">
        <v>4370</v>
      </c>
      <c r="C8" s="1096"/>
      <c r="D8" s="1393">
        <v>4.8</v>
      </c>
      <c r="E8" s="1394" t="s">
        <v>212</v>
      </c>
    </row>
    <row r="9" spans="1:8">
      <c r="B9" s="1392" t="s">
        <v>4371</v>
      </c>
      <c r="C9" s="1096"/>
      <c r="D9" s="1393">
        <v>3.2</v>
      </c>
      <c r="E9" s="1394" t="s">
        <v>212</v>
      </c>
    </row>
    <row r="10" spans="1:8">
      <c r="B10" s="1392" t="s">
        <v>318</v>
      </c>
      <c r="C10" s="1096"/>
      <c r="D10" s="1393">
        <v>19.2</v>
      </c>
      <c r="E10" s="1394" t="s">
        <v>212</v>
      </c>
    </row>
    <row r="11" spans="1:8">
      <c r="B11" s="1392" t="s">
        <v>317</v>
      </c>
      <c r="C11" s="1096"/>
      <c r="D11" s="1393">
        <v>12.8</v>
      </c>
      <c r="E11" s="1394" t="s">
        <v>212</v>
      </c>
    </row>
    <row r="12" spans="1:8" ht="13.5" thickBot="1">
      <c r="B12" s="1395" t="s">
        <v>1959</v>
      </c>
      <c r="C12" s="1396"/>
      <c r="D12" s="1397">
        <v>48</v>
      </c>
      <c r="E12" s="1398" t="s">
        <v>212</v>
      </c>
    </row>
    <row r="13" spans="1:8" ht="13.5" thickBot="1"/>
    <row r="14" spans="1:8">
      <c r="B14" s="1389" t="s">
        <v>2486</v>
      </c>
      <c r="C14" s="1390"/>
      <c r="D14" s="1444">
        <v>0.25</v>
      </c>
      <c r="E14" s="1391"/>
      <c r="F14" s="831" t="s">
        <v>4372</v>
      </c>
    </row>
    <row r="15" spans="1:8" ht="13.5" thickBot="1">
      <c r="B15" s="1395" t="s">
        <v>2663</v>
      </c>
      <c r="C15" s="1396"/>
      <c r="D15" s="1396">
        <v>5</v>
      </c>
      <c r="E15" s="1398"/>
      <c r="F15" s="831" t="s">
        <v>4373</v>
      </c>
    </row>
    <row r="16" spans="1:8" ht="13.5" thickBot="1"/>
    <row r="17" spans="2:6" ht="13.5" thickBot="1">
      <c r="B17" s="1405" t="s">
        <v>1773</v>
      </c>
      <c r="C17" s="1406"/>
      <c r="D17" s="1547">
        <v>9.6</v>
      </c>
      <c r="E17" s="1408" t="s">
        <v>212</v>
      </c>
      <c r="F17" s="831" t="s">
        <v>4374</v>
      </c>
    </row>
    <row r="18" spans="2:6" ht="13.5" thickBot="1"/>
    <row r="19" spans="2:6" ht="13.5" thickBot="1">
      <c r="B19" s="1405" t="s">
        <v>1774</v>
      </c>
      <c r="C19" s="1406"/>
      <c r="D19" s="1455">
        <v>12</v>
      </c>
      <c r="E19" s="1408" t="s">
        <v>212</v>
      </c>
      <c r="F19" s="831" t="s">
        <v>4309</v>
      </c>
    </row>
  </sheetData>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115</vt:i4>
      </vt:variant>
      <vt:variant>
        <vt:lpstr>Benannte Bereiche</vt:lpstr>
      </vt:variant>
      <vt:variant>
        <vt:i4>3</vt:i4>
      </vt:variant>
    </vt:vector>
  </HeadingPairs>
  <TitlesOfParts>
    <vt:vector size="118" baseType="lpstr">
      <vt:lpstr>Inhaltsverzeichnis</vt:lpstr>
      <vt:lpstr>Hinweise</vt:lpstr>
      <vt:lpstr>Formelsammlung</vt:lpstr>
      <vt:lpstr>Kopieren</vt:lpstr>
      <vt:lpstr>Formeln schreiben</vt:lpstr>
      <vt:lpstr>Antwortsätze schreiben</vt:lpstr>
      <vt:lpstr>Winkel berechnen</vt:lpstr>
      <vt:lpstr>Rechteck</vt:lpstr>
      <vt:lpstr>Dreieck</vt:lpstr>
      <vt:lpstr>Kreis</vt:lpstr>
      <vt:lpstr>Papierformat-Nutzen</vt:lpstr>
      <vt:lpstr>Quader</vt:lpstr>
      <vt:lpstr>Volumen</vt:lpstr>
      <vt:lpstr>Mischung</vt:lpstr>
      <vt:lpstr>Hilfslinien 1</vt:lpstr>
      <vt:lpstr>Hilfslinien 2</vt:lpstr>
      <vt:lpstr>Auflösung_ppi_dpi</vt:lpstr>
      <vt:lpstr>Licht-Wellenlänge-Frequenz</vt:lpstr>
      <vt:lpstr>Lumen-Lux-Candela</vt:lpstr>
      <vt:lpstr>Reflektionsgesetz</vt:lpstr>
      <vt:lpstr>Projektion-Leitzahl</vt:lpstr>
      <vt:lpstr>Öffnungsverhältnis-Blende</vt:lpstr>
      <vt:lpstr>Blenden-Zeiten-Belicht.-Reihen</vt:lpstr>
      <vt:lpstr>Winkel</vt:lpstr>
      <vt:lpstr>Vergütung</vt:lpstr>
      <vt:lpstr>Polarisation</vt:lpstr>
      <vt:lpstr>Interferenz</vt:lpstr>
      <vt:lpstr>Brechung</vt:lpstr>
      <vt:lpstr>Brechung Prisma</vt:lpstr>
      <vt:lpstr>Brechung-Wölbung</vt:lpstr>
      <vt:lpstr>V_a_a'_f</vt:lpstr>
      <vt:lpstr>Opt. Rechnen_Varianten</vt:lpstr>
      <vt:lpstr>Belichtung-Bildweite</vt:lpstr>
      <vt:lpstr>Abb.-maßstab-Brennweite</vt:lpstr>
      <vt:lpstr>Proportionen</vt:lpstr>
      <vt:lpstr>Bildwinkel_-kreis_Sensorgröße</vt:lpstr>
      <vt:lpstr>Bildkreis-Shift</vt:lpstr>
      <vt:lpstr>Lichtabfall im Bildkreis</vt:lpstr>
      <vt:lpstr>projektive Verzeichnung</vt:lpstr>
      <vt:lpstr>Scheimpflug</vt:lpstr>
      <vt:lpstr>Auge Scharfsehen</vt:lpstr>
      <vt:lpstr>Zerstreuungskreis</vt:lpstr>
      <vt:lpstr>Schärfentiefe</vt:lpstr>
      <vt:lpstr>Digitalisieren</vt:lpstr>
      <vt:lpstr>Zins-Kredit</vt:lpstr>
      <vt:lpstr>Datenbank nutzen</vt:lpstr>
      <vt:lpstr>Zeitraffer</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A-29</vt:lpstr>
      <vt:lpstr>A-30</vt:lpstr>
      <vt:lpstr>A-31</vt:lpstr>
      <vt:lpstr>A-32</vt:lpstr>
      <vt:lpstr>A-33</vt:lpstr>
      <vt:lpstr>A-34</vt:lpstr>
      <vt:lpstr>A-35</vt:lpstr>
      <vt:lpstr>A-36</vt:lpstr>
      <vt:lpstr>A-37</vt:lpstr>
      <vt:lpstr>A-38</vt:lpstr>
      <vt:lpstr>A-39</vt:lpstr>
      <vt:lpstr>A-40</vt:lpstr>
      <vt:lpstr>A-41</vt:lpstr>
      <vt:lpstr>A-42</vt:lpstr>
      <vt:lpstr>A-43</vt:lpstr>
      <vt:lpstr>A-44</vt:lpstr>
      <vt:lpstr>A-45</vt:lpstr>
      <vt:lpstr>A-46</vt:lpstr>
      <vt:lpstr>A-47</vt:lpstr>
      <vt:lpstr>A-48</vt:lpstr>
      <vt:lpstr>A-49</vt:lpstr>
      <vt:lpstr>A-50</vt:lpstr>
      <vt:lpstr>A-51</vt:lpstr>
      <vt:lpstr>A-52</vt:lpstr>
      <vt:lpstr>A-53</vt:lpstr>
      <vt:lpstr>A-54</vt:lpstr>
      <vt:lpstr>A-55</vt:lpstr>
      <vt:lpstr>A-55a</vt:lpstr>
      <vt:lpstr>A-56</vt:lpstr>
      <vt:lpstr>A58</vt:lpstr>
      <vt:lpstr>A-59</vt:lpstr>
      <vt:lpstr>A-60</vt:lpstr>
      <vt:lpstr>A-61</vt:lpstr>
      <vt:lpstr>A-62</vt:lpstr>
      <vt:lpstr>A-63</vt:lpstr>
      <vt:lpstr>A-64</vt:lpstr>
      <vt:lpstr>A-65</vt:lpstr>
      <vt:lpstr>A-66</vt:lpstr>
      <vt:lpstr>A-67</vt:lpstr>
      <vt:lpstr>A-68</vt:lpstr>
      <vt:lpstr>ascii</vt:lpstr>
      <vt:lpstr>'Datenbank nutzen'!Datenbank</vt:lpstr>
      <vt:lpstr>Leistungen</vt:lpstr>
    </vt:vector>
  </TitlesOfParts>
  <Company>wk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dc:creator>
  <cp:lastModifiedBy>wk</cp:lastModifiedBy>
  <dcterms:created xsi:type="dcterms:W3CDTF">2017-03-19T14:13:18Z</dcterms:created>
  <dcterms:modified xsi:type="dcterms:W3CDTF">2018-10-23T10:29:44Z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CSheetName">
    <vt:lpwstr>Inhaltsverzeichnis</vt:lpwstr>
  </property>
</Properties>
</file>